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workbookProtection workbookPassword="B8FF" lockStructure="1"/>
  <bookViews>
    <workbookView xWindow="480" yWindow="30" windowWidth="17670" windowHeight="7305" tabRatio="668"/>
  </bookViews>
  <sheets>
    <sheet name="MetaData" sheetId="14" r:id="rId1"/>
    <sheet name="Axelson_Gail" sheetId="1" r:id="rId2"/>
    <sheet name="IndrctAdj" sheetId="4" r:id="rId3"/>
    <sheet name="Solve_P(C|X)_BinC" sheetId="11" r:id="rId4"/>
    <sheet name="Corr" sheetId="9" state="hidden" r:id="rId5"/>
    <sheet name="Solve_RRC" sheetId="12" r:id="rId6"/>
    <sheet name="MultMdl" sheetId="17" state="hidden" r:id="rId7"/>
    <sheet name="AddMdl" sheetId="13" state="hidden" r:id="rId8"/>
    <sheet name="RegSm" sheetId="8" state="hidden" r:id="rId9"/>
    <sheet name="ExampleData" sheetId="15" r:id="rId10"/>
    <sheet name="TestData" sheetId="16" state="hidden" r:id="rId11"/>
    <sheet name="Tolerance" sheetId="18" r:id="rId12"/>
  </sheets>
  <definedNames>
    <definedName name="Rnd_solve" comment="Number decimals for solution">Tolerance!$B$4</definedName>
    <definedName name="tol_Pr" comment="Set tolerance for sum of probabilities">Tolerance!$B$3</definedName>
  </definedNames>
  <calcPr calcId="145621"/>
</workbook>
</file>

<file path=xl/calcChain.xml><?xml version="1.0" encoding="utf-8"?>
<calcChain xmlns="http://schemas.openxmlformats.org/spreadsheetml/2006/main">
  <c r="L95" i="4" l="1"/>
  <c r="L48" i="4"/>
  <c r="D5" i="1" l="1"/>
  <c r="D6" i="1"/>
  <c r="T12" i="1"/>
  <c r="R14" i="1"/>
  <c r="C14" i="1" s="1"/>
  <c r="R27" i="1"/>
  <c r="C27" i="1" s="1"/>
  <c r="O30" i="4" l="1"/>
  <c r="J31" i="1" l="1"/>
  <c r="K31" i="1" s="1"/>
  <c r="J22" i="1"/>
  <c r="K22" i="1" s="1"/>
  <c r="Q4" i="11" l="1"/>
  <c r="H4" i="11"/>
  <c r="N99" i="4" l="1"/>
  <c r="O77" i="4"/>
  <c r="N52" i="4"/>
  <c r="S20" i="1"/>
  <c r="S19" i="1"/>
  <c r="C21" i="1" l="1"/>
  <c r="B143" i="8"/>
  <c r="A143" i="8"/>
  <c r="E143" i="8"/>
  <c r="D143" i="8"/>
  <c r="C143" i="8"/>
  <c r="G143" i="8" l="1"/>
  <c r="O34" i="11"/>
  <c r="O33" i="11"/>
  <c r="O32" i="11"/>
  <c r="O31" i="11"/>
  <c r="P31" i="11" s="1"/>
  <c r="F34" i="11"/>
  <c r="F33" i="11"/>
  <c r="F32" i="11"/>
  <c r="F31" i="11"/>
  <c r="C59" i="12"/>
  <c r="C46" i="12" s="1"/>
  <c r="G31" i="11" l="1"/>
  <c r="P33" i="11"/>
  <c r="P9" i="11" s="1"/>
  <c r="O9" i="11" s="1"/>
  <c r="G33" i="11"/>
  <c r="J42" i="13"/>
  <c r="I42" i="13"/>
  <c r="H42" i="13"/>
  <c r="G42" i="13"/>
  <c r="F42" i="13"/>
  <c r="E42" i="13"/>
  <c r="D42" i="13"/>
  <c r="C42" i="13"/>
  <c r="J41" i="13"/>
  <c r="I41" i="13"/>
  <c r="H41" i="13"/>
  <c r="G41" i="13"/>
  <c r="F41" i="13"/>
  <c r="E41" i="13"/>
  <c r="D41" i="13"/>
  <c r="C41" i="13"/>
  <c r="J40" i="13"/>
  <c r="I40" i="13"/>
  <c r="H40" i="13"/>
  <c r="G40" i="13"/>
  <c r="F40" i="13"/>
  <c r="E40" i="13"/>
  <c r="D40" i="13"/>
  <c r="C40" i="13"/>
  <c r="B42" i="13"/>
  <c r="B41" i="13"/>
  <c r="B40" i="13"/>
  <c r="A5" i="13"/>
  <c r="B13" i="13"/>
  <c r="A13" i="13"/>
  <c r="B12" i="13"/>
  <c r="A12" i="13"/>
  <c r="B11" i="13"/>
  <c r="A11" i="13"/>
  <c r="B10" i="13"/>
  <c r="A10" i="13"/>
  <c r="G39" i="13" s="1"/>
  <c r="B9" i="13"/>
  <c r="A9" i="13"/>
  <c r="B8" i="13"/>
  <c r="A8" i="13"/>
  <c r="B7" i="13"/>
  <c r="A7" i="13"/>
  <c r="D13" i="13"/>
  <c r="D12" i="13"/>
  <c r="D11" i="13"/>
  <c r="D10" i="13"/>
  <c r="D9" i="13"/>
  <c r="D8" i="13"/>
  <c r="D7" i="13"/>
  <c r="D6" i="13"/>
  <c r="D5" i="13"/>
  <c r="M13" i="13"/>
  <c r="L13" i="13"/>
  <c r="K13" i="13"/>
  <c r="J13" i="13"/>
  <c r="I13" i="13"/>
  <c r="H13" i="13"/>
  <c r="G13" i="13"/>
  <c r="F13" i="13"/>
  <c r="E13" i="13"/>
  <c r="M12" i="13"/>
  <c r="L12" i="13"/>
  <c r="K12" i="13"/>
  <c r="J12" i="13"/>
  <c r="I12" i="13"/>
  <c r="H12" i="13"/>
  <c r="G12" i="13"/>
  <c r="F12" i="13"/>
  <c r="E12" i="13"/>
  <c r="M11" i="13"/>
  <c r="L11" i="13"/>
  <c r="K11" i="13"/>
  <c r="J11" i="13"/>
  <c r="I11" i="13"/>
  <c r="H11" i="13"/>
  <c r="G11" i="13"/>
  <c r="F11" i="13"/>
  <c r="E11" i="13"/>
  <c r="M10" i="13"/>
  <c r="L10" i="13"/>
  <c r="K10" i="13"/>
  <c r="J10" i="13"/>
  <c r="I10" i="13"/>
  <c r="H10" i="13"/>
  <c r="G10" i="13"/>
  <c r="F10" i="13"/>
  <c r="E10" i="13"/>
  <c r="M9" i="13"/>
  <c r="L9" i="13"/>
  <c r="K9" i="13"/>
  <c r="J9" i="13"/>
  <c r="I9" i="13"/>
  <c r="H9" i="13"/>
  <c r="G9" i="13"/>
  <c r="F9" i="13"/>
  <c r="E9" i="13"/>
  <c r="M8" i="13"/>
  <c r="L8" i="13"/>
  <c r="K8" i="13"/>
  <c r="J8" i="13"/>
  <c r="I8" i="13"/>
  <c r="H8" i="13"/>
  <c r="G8" i="13"/>
  <c r="F8" i="13"/>
  <c r="E8" i="13"/>
  <c r="M7" i="13"/>
  <c r="L7" i="13"/>
  <c r="K7" i="13"/>
  <c r="J7" i="13"/>
  <c r="I7" i="13"/>
  <c r="H7" i="13"/>
  <c r="G7" i="13"/>
  <c r="F7" i="13"/>
  <c r="E7" i="13"/>
  <c r="M6" i="13"/>
  <c r="L6" i="13"/>
  <c r="K6" i="13"/>
  <c r="J6" i="13"/>
  <c r="I6" i="13"/>
  <c r="H6" i="13"/>
  <c r="G6" i="13"/>
  <c r="F6" i="13"/>
  <c r="E6" i="13"/>
  <c r="M5" i="13"/>
  <c r="L5" i="13"/>
  <c r="K5" i="13"/>
  <c r="J5" i="13"/>
  <c r="I5" i="13"/>
  <c r="H5" i="13"/>
  <c r="G5" i="13"/>
  <c r="F5" i="13"/>
  <c r="E5" i="13"/>
  <c r="M4" i="13"/>
  <c r="L4" i="13"/>
  <c r="K4" i="13"/>
  <c r="J4" i="13"/>
  <c r="I4" i="13"/>
  <c r="H4" i="13"/>
  <c r="G4" i="13"/>
  <c r="F4" i="13"/>
  <c r="E4" i="13"/>
  <c r="D4" i="13"/>
  <c r="C15" i="17"/>
  <c r="C14" i="17"/>
  <c r="C13" i="17"/>
  <c r="C12" i="17"/>
  <c r="C11" i="17"/>
  <c r="C10" i="17"/>
  <c r="C9" i="17"/>
  <c r="C8" i="17"/>
  <c r="C7" i="17"/>
  <c r="L15" i="17"/>
  <c r="K15" i="17"/>
  <c r="J15" i="17"/>
  <c r="I15" i="17"/>
  <c r="H15" i="17"/>
  <c r="G15" i="17"/>
  <c r="F15" i="17"/>
  <c r="E15" i="17"/>
  <c r="D15" i="17"/>
  <c r="L14" i="17"/>
  <c r="K14" i="17"/>
  <c r="J14" i="17"/>
  <c r="I14" i="17"/>
  <c r="H14" i="17"/>
  <c r="G14" i="17"/>
  <c r="F14" i="17"/>
  <c r="E14" i="17"/>
  <c r="D14" i="17"/>
  <c r="L13" i="17"/>
  <c r="K13" i="17"/>
  <c r="J13" i="17"/>
  <c r="I13" i="17"/>
  <c r="H13" i="17"/>
  <c r="G13" i="17"/>
  <c r="F13" i="17"/>
  <c r="E13" i="17"/>
  <c r="D13" i="17"/>
  <c r="M13" i="17" s="1"/>
  <c r="N13" i="17" s="1"/>
  <c r="L12" i="17"/>
  <c r="K12" i="17"/>
  <c r="J12" i="17"/>
  <c r="I12" i="17"/>
  <c r="H12" i="17"/>
  <c r="G12" i="17"/>
  <c r="F12" i="17"/>
  <c r="E12" i="17"/>
  <c r="D12" i="17"/>
  <c r="L11" i="17"/>
  <c r="K11" i="17"/>
  <c r="J11" i="17"/>
  <c r="I11" i="17"/>
  <c r="H11" i="17"/>
  <c r="G11" i="17"/>
  <c r="F11" i="17"/>
  <c r="E11" i="17"/>
  <c r="D11" i="17"/>
  <c r="L10" i="17"/>
  <c r="K10" i="17"/>
  <c r="J10" i="17"/>
  <c r="I10" i="17"/>
  <c r="H10" i="17"/>
  <c r="G10" i="17"/>
  <c r="F10" i="17"/>
  <c r="E10" i="17"/>
  <c r="D10" i="17"/>
  <c r="L9" i="17"/>
  <c r="K9" i="17"/>
  <c r="J9" i="17"/>
  <c r="I9" i="17"/>
  <c r="H9" i="17"/>
  <c r="G9" i="17"/>
  <c r="F9" i="17"/>
  <c r="E9" i="17"/>
  <c r="D9" i="17"/>
  <c r="L8" i="17"/>
  <c r="K8" i="17"/>
  <c r="J8" i="17"/>
  <c r="I8" i="17"/>
  <c r="H8" i="17"/>
  <c r="G8" i="17"/>
  <c r="F8" i="17"/>
  <c r="E8" i="17"/>
  <c r="D8" i="17"/>
  <c r="L7" i="17"/>
  <c r="K7" i="17"/>
  <c r="J7" i="17"/>
  <c r="I7" i="17"/>
  <c r="H7" i="17"/>
  <c r="G7" i="17"/>
  <c r="F7" i="17"/>
  <c r="E7" i="17"/>
  <c r="D7" i="17"/>
  <c r="L6" i="17"/>
  <c r="K6" i="17"/>
  <c r="J6" i="17"/>
  <c r="I6" i="17"/>
  <c r="H6" i="17"/>
  <c r="G6" i="17"/>
  <c r="F6" i="17"/>
  <c r="E6" i="17"/>
  <c r="D6" i="17"/>
  <c r="C6" i="17"/>
  <c r="P18" i="11" l="1"/>
  <c r="O18" i="11" s="1"/>
  <c r="Q18" i="11" s="1"/>
  <c r="G22" i="11"/>
  <c r="F22" i="11" s="1"/>
  <c r="H22" i="11" s="1"/>
  <c r="P10" i="11"/>
  <c r="O10" i="11" s="1"/>
  <c r="P15" i="11"/>
  <c r="O15" i="11" s="1"/>
  <c r="P22" i="11"/>
  <c r="O22" i="11" s="1"/>
  <c r="Q22" i="11" s="1"/>
  <c r="O7" i="11"/>
  <c r="P11" i="11"/>
  <c r="O11" i="11" s="1"/>
  <c r="P21" i="11"/>
  <c r="O21" i="11" s="1"/>
  <c r="Q21" i="11" s="1"/>
  <c r="P13" i="11"/>
  <c r="O13" i="11" s="1"/>
  <c r="P12" i="11"/>
  <c r="O12" i="11" s="1"/>
  <c r="P16" i="11"/>
  <c r="O16" i="11" s="1"/>
  <c r="Q16" i="11" s="1"/>
  <c r="P20" i="11"/>
  <c r="O20" i="11" s="1"/>
  <c r="G16" i="11"/>
  <c r="F16" i="11" s="1"/>
  <c r="H16" i="11" s="1"/>
  <c r="G18" i="11"/>
  <c r="F18" i="11" s="1"/>
  <c r="H18" i="11" s="1"/>
  <c r="G20" i="11"/>
  <c r="F20" i="11" s="1"/>
  <c r="H20" i="11" s="1"/>
  <c r="G21" i="11"/>
  <c r="F21" i="11" s="1"/>
  <c r="H21" i="11" s="1"/>
  <c r="M15" i="17"/>
  <c r="N15" i="17" s="1"/>
  <c r="G19" i="11"/>
  <c r="F19" i="11" s="1"/>
  <c r="H19" i="11" s="1"/>
  <c r="P17" i="11"/>
  <c r="O17" i="11" s="1"/>
  <c r="Q17" i="11" s="1"/>
  <c r="R13" i="17"/>
  <c r="M14" i="17"/>
  <c r="N14" i="17" s="1"/>
  <c r="P11" i="13"/>
  <c r="N13" i="13"/>
  <c r="O13" i="13" s="1"/>
  <c r="P12" i="13"/>
  <c r="P8" i="11"/>
  <c r="O8" i="11" s="1"/>
  <c r="P14" i="11"/>
  <c r="O14" i="11" s="1"/>
  <c r="P19" i="11"/>
  <c r="O19" i="11" s="1"/>
  <c r="Q19" i="11" s="1"/>
  <c r="F7" i="11"/>
  <c r="G14" i="11" s="1"/>
  <c r="F14" i="11" s="1"/>
  <c r="H14" i="11" s="1"/>
  <c r="G17" i="11"/>
  <c r="F17" i="11" s="1"/>
  <c r="H17" i="11" s="1"/>
  <c r="P13" i="13"/>
  <c r="R15" i="17"/>
  <c r="R6" i="17"/>
  <c r="P8" i="13"/>
  <c r="N8" i="13"/>
  <c r="O8" i="13" s="1"/>
  <c r="P9" i="13"/>
  <c r="A40" i="13"/>
  <c r="D39" i="13"/>
  <c r="E39" i="13"/>
  <c r="H39" i="13"/>
  <c r="I39" i="13"/>
  <c r="F39" i="13"/>
  <c r="J39" i="13"/>
  <c r="B39" i="13"/>
  <c r="C39" i="13"/>
  <c r="M11" i="17"/>
  <c r="N11" i="17" s="1"/>
  <c r="P5" i="13"/>
  <c r="N9" i="13"/>
  <c r="O9" i="13" s="1"/>
  <c r="R10" i="17"/>
  <c r="R11" i="17"/>
  <c r="M12" i="17"/>
  <c r="N12" i="17" s="1"/>
  <c r="R14" i="17"/>
  <c r="N10" i="13"/>
  <c r="O10" i="13" s="1"/>
  <c r="J36" i="13"/>
  <c r="J38" i="13"/>
  <c r="N5" i="13"/>
  <c r="O5" i="13" s="1"/>
  <c r="P10" i="13"/>
  <c r="N11" i="13"/>
  <c r="O11" i="13" s="1"/>
  <c r="M10" i="17"/>
  <c r="N10" i="17" s="1"/>
  <c r="P7" i="13"/>
  <c r="N12" i="13"/>
  <c r="O12" i="13" s="1"/>
  <c r="J37" i="13"/>
  <c r="C34" i="13"/>
  <c r="A41" i="13"/>
  <c r="A42" i="13"/>
  <c r="A39" i="13"/>
  <c r="H36" i="13"/>
  <c r="E34" i="13"/>
  <c r="D38" i="13"/>
  <c r="E36" i="13"/>
  <c r="F36" i="13"/>
  <c r="G36" i="13"/>
  <c r="E38" i="13"/>
  <c r="D37" i="13"/>
  <c r="D36" i="13"/>
  <c r="F38" i="13"/>
  <c r="E37" i="13"/>
  <c r="F37" i="13"/>
  <c r="G38" i="13"/>
  <c r="H38" i="13"/>
  <c r="A38" i="13"/>
  <c r="B38" i="13"/>
  <c r="C36" i="13"/>
  <c r="C37" i="13"/>
  <c r="C38" i="13"/>
  <c r="G37" i="13"/>
  <c r="H37" i="13"/>
  <c r="A36" i="13"/>
  <c r="B36" i="13"/>
  <c r="H34" i="13"/>
  <c r="I36" i="13"/>
  <c r="I37" i="13"/>
  <c r="I38" i="13"/>
  <c r="A37" i="13"/>
  <c r="B37" i="13"/>
  <c r="I34" i="13"/>
  <c r="R12" i="17"/>
  <c r="D34" i="13"/>
  <c r="R9" i="17"/>
  <c r="N7" i="13"/>
  <c r="O7" i="13" s="1"/>
  <c r="P4" i="13"/>
  <c r="N4" i="13"/>
  <c r="O4" i="13" s="1"/>
  <c r="P6" i="13"/>
  <c r="N6" i="13"/>
  <c r="O6" i="13" s="1"/>
  <c r="F34" i="13"/>
  <c r="G34" i="13"/>
  <c r="B34" i="13"/>
  <c r="J34" i="13"/>
  <c r="M6" i="17"/>
  <c r="N6" i="17" s="1"/>
  <c r="R8" i="17"/>
  <c r="R7" i="17"/>
  <c r="M7" i="17"/>
  <c r="N7" i="17" s="1"/>
  <c r="M8" i="17"/>
  <c r="N8" i="17" s="1"/>
  <c r="M9" i="17"/>
  <c r="N9" i="17" s="1"/>
  <c r="Q10" i="11" l="1"/>
  <c r="Q15" i="11"/>
  <c r="Q12" i="11"/>
  <c r="Q8" i="11"/>
  <c r="Q13" i="11"/>
  <c r="Q9" i="11"/>
  <c r="Q14" i="11"/>
  <c r="Q11" i="11"/>
  <c r="Q7" i="11"/>
  <c r="G15" i="11"/>
  <c r="F15" i="11" s="1"/>
  <c r="H15" i="11" s="1"/>
  <c r="H7" i="11"/>
  <c r="G13" i="11"/>
  <c r="F13" i="11" s="1"/>
  <c r="H13" i="11" s="1"/>
  <c r="G10" i="11"/>
  <c r="F10" i="11" s="1"/>
  <c r="H10" i="11" s="1"/>
  <c r="G12" i="11"/>
  <c r="F12" i="11" s="1"/>
  <c r="H12" i="11" s="1"/>
  <c r="G9" i="11"/>
  <c r="F9" i="11" s="1"/>
  <c r="H9" i="11" s="1"/>
  <c r="G11" i="11"/>
  <c r="F11" i="11" s="1"/>
  <c r="H11" i="11" s="1"/>
  <c r="G8" i="11"/>
  <c r="F8" i="11" s="1"/>
  <c r="H8" i="11" s="1"/>
  <c r="G40" i="17"/>
  <c r="B31" i="9"/>
  <c r="AD6" i="4"/>
  <c r="B32" i="9"/>
  <c r="AD3" i="4"/>
  <c r="AD4" i="4"/>
  <c r="C9" i="1"/>
  <c r="R13" i="1" s="1"/>
  <c r="R10" i="1" l="1"/>
  <c r="R5" i="1"/>
  <c r="R6" i="1"/>
  <c r="AD8" i="4" l="1"/>
  <c r="AD14" i="4"/>
  <c r="A119" i="8"/>
  <c r="A73" i="8"/>
  <c r="AD12" i="4"/>
  <c r="AD11" i="4"/>
  <c r="AD10" i="4"/>
  <c r="AD9" i="4"/>
  <c r="Q18" i="4"/>
  <c r="R26" i="1"/>
  <c r="R12" i="1"/>
  <c r="D11" i="1" s="1"/>
  <c r="R8" i="1" s="1"/>
  <c r="C23" i="1" l="1"/>
  <c r="S18" i="1" s="1"/>
  <c r="S25" i="1" s="1"/>
  <c r="B118" i="8"/>
  <c r="B72" i="8"/>
  <c r="B108" i="8"/>
  <c r="B104" i="8"/>
  <c r="B109" i="8"/>
  <c r="B115" i="8"/>
  <c r="B103" i="8"/>
  <c r="B113" i="8"/>
  <c r="B105" i="8"/>
  <c r="B111" i="8"/>
  <c r="B116" i="8"/>
  <c r="B107" i="8"/>
  <c r="B112" i="8"/>
  <c r="B117" i="8"/>
  <c r="B106" i="8"/>
  <c r="B110" i="8"/>
  <c r="B114" i="8"/>
  <c r="B57" i="8"/>
  <c r="B61" i="8"/>
  <c r="B65" i="8"/>
  <c r="B69" i="8"/>
  <c r="B58" i="8"/>
  <c r="B62" i="8"/>
  <c r="B66" i="8"/>
  <c r="B70" i="8"/>
  <c r="B59" i="8"/>
  <c r="B63" i="8"/>
  <c r="B67" i="8"/>
  <c r="B71" i="8"/>
  <c r="B60" i="8"/>
  <c r="B64" i="8"/>
  <c r="B68" i="8"/>
  <c r="R7" i="11"/>
  <c r="I7" i="11"/>
  <c r="G19" i="1" l="1"/>
  <c r="D7" i="1"/>
  <c r="R7" i="1"/>
  <c r="R11" i="1"/>
  <c r="K33" i="1" l="1"/>
  <c r="K24" i="1"/>
  <c r="K29" i="1" l="1"/>
  <c r="K30" i="1" s="1"/>
  <c r="G21" i="1"/>
  <c r="K20" i="1" l="1"/>
  <c r="K21" i="1" s="1"/>
  <c r="B6" i="13" l="1"/>
  <c r="A6" i="13"/>
  <c r="B5" i="13"/>
  <c r="A34" i="13" s="1"/>
  <c r="B4" i="13"/>
  <c r="A4" i="13"/>
  <c r="J35" i="13" l="1"/>
  <c r="B35" i="13"/>
  <c r="G35" i="13"/>
  <c r="I35" i="13"/>
  <c r="A35" i="13"/>
  <c r="F35" i="13"/>
  <c r="E35" i="13"/>
  <c r="H35" i="13"/>
  <c r="D35" i="13"/>
  <c r="C35" i="13"/>
  <c r="G28" i="1"/>
  <c r="J20" i="1"/>
  <c r="R11" i="11" l="1"/>
  <c r="R15" i="11"/>
  <c r="R14" i="11"/>
  <c r="R12" i="11"/>
  <c r="R19" i="11"/>
  <c r="R13" i="11"/>
  <c r="R17" i="11"/>
  <c r="R20" i="11"/>
  <c r="R16" i="11"/>
  <c r="R8" i="11"/>
  <c r="R9" i="11"/>
  <c r="R10" i="11"/>
  <c r="R21" i="11"/>
  <c r="R18" i="11"/>
  <c r="R22" i="11"/>
  <c r="I21" i="11"/>
  <c r="I20" i="11"/>
  <c r="I18" i="11"/>
  <c r="I17" i="11"/>
  <c r="I16" i="11"/>
  <c r="I19" i="11"/>
  <c r="I22" i="11"/>
  <c r="J29" i="1"/>
  <c r="J30" i="1" s="1"/>
  <c r="L30" i="1" s="1"/>
  <c r="G30" i="1"/>
  <c r="L20" i="1"/>
  <c r="J21" i="1"/>
  <c r="L21" i="1" s="1"/>
  <c r="G29" i="1"/>
  <c r="G20" i="1"/>
  <c r="L29" i="1" l="1"/>
  <c r="L33" i="1" s="1"/>
  <c r="L34" i="1" s="1"/>
  <c r="L24" i="1"/>
  <c r="L25" i="1" s="1"/>
  <c r="I11" i="11"/>
  <c r="I13" i="11"/>
  <c r="I14" i="11"/>
  <c r="I9" i="11"/>
  <c r="I12" i="11"/>
  <c r="I8" i="11"/>
  <c r="I10" i="11"/>
  <c r="I15" i="11"/>
  <c r="L31" i="1"/>
  <c r="L22" i="1"/>
  <c r="L5" i="11" l="1"/>
  <c r="B12" i="9"/>
  <c r="Z23" i="4"/>
  <c r="Y23" i="4"/>
  <c r="X23" i="4"/>
  <c r="W23" i="4"/>
  <c r="V23" i="4"/>
  <c r="U23" i="4"/>
  <c r="T23" i="4"/>
  <c r="S23" i="4"/>
  <c r="R23" i="4"/>
  <c r="Q23" i="4"/>
  <c r="Z22" i="4"/>
  <c r="Y22" i="4"/>
  <c r="X22" i="4"/>
  <c r="W22" i="4"/>
  <c r="V22" i="4"/>
  <c r="U22" i="4"/>
  <c r="T22" i="4"/>
  <c r="S22" i="4"/>
  <c r="R22" i="4"/>
  <c r="Q22" i="4"/>
  <c r="Z21" i="4"/>
  <c r="Y21" i="4"/>
  <c r="X21" i="4"/>
  <c r="W21" i="4"/>
  <c r="V21" i="4"/>
  <c r="U21" i="4"/>
  <c r="T21" i="4"/>
  <c r="S21" i="4"/>
  <c r="R21" i="4"/>
  <c r="Q21" i="4"/>
  <c r="Z20" i="4"/>
  <c r="Y20" i="4"/>
  <c r="X20" i="4"/>
  <c r="W20" i="4"/>
  <c r="V20" i="4"/>
  <c r="U20" i="4"/>
  <c r="T20" i="4"/>
  <c r="S20" i="4"/>
  <c r="R20" i="4"/>
  <c r="Q20" i="4"/>
  <c r="Z19" i="4"/>
  <c r="Y19" i="4"/>
  <c r="X19" i="4"/>
  <c r="W19" i="4"/>
  <c r="V19" i="4"/>
  <c r="U19" i="4"/>
  <c r="T19" i="4"/>
  <c r="S19" i="4"/>
  <c r="R19" i="4"/>
  <c r="Q19" i="4"/>
  <c r="Z18" i="4"/>
  <c r="Y18" i="4"/>
  <c r="X18" i="4"/>
  <c r="W18" i="4"/>
  <c r="V18" i="4"/>
  <c r="U18" i="4"/>
  <c r="T18" i="4"/>
  <c r="S18" i="4"/>
  <c r="R18" i="4"/>
  <c r="Z17" i="4"/>
  <c r="Y17" i="4"/>
  <c r="X17" i="4"/>
  <c r="W17" i="4"/>
  <c r="V17" i="4"/>
  <c r="U17" i="4"/>
  <c r="T17" i="4"/>
  <c r="S17" i="4"/>
  <c r="R17" i="4"/>
  <c r="Q17" i="4"/>
  <c r="Z16" i="4"/>
  <c r="Y16" i="4"/>
  <c r="X16" i="4"/>
  <c r="W16" i="4"/>
  <c r="V16" i="4"/>
  <c r="U16" i="4"/>
  <c r="T16" i="4"/>
  <c r="S16" i="4"/>
  <c r="R16" i="4"/>
  <c r="Q16" i="4"/>
  <c r="Z15" i="4"/>
  <c r="Y15" i="4"/>
  <c r="X15" i="4"/>
  <c r="W15" i="4"/>
  <c r="V15" i="4"/>
  <c r="U15" i="4"/>
  <c r="T15" i="4"/>
  <c r="S15" i="4"/>
  <c r="R15" i="4"/>
  <c r="Z14" i="4"/>
  <c r="Y14" i="4"/>
  <c r="X14" i="4"/>
  <c r="W14" i="4"/>
  <c r="V14" i="4"/>
  <c r="U14" i="4"/>
  <c r="T14" i="4"/>
  <c r="S14" i="4"/>
  <c r="R14" i="4"/>
  <c r="Q14" i="4"/>
  <c r="Z13" i="4"/>
  <c r="Y13" i="4"/>
  <c r="X13" i="4"/>
  <c r="W13" i="4"/>
  <c r="V13" i="4"/>
  <c r="U13" i="4"/>
  <c r="T13" i="4"/>
  <c r="S13" i="4"/>
  <c r="R13" i="4"/>
  <c r="Q13" i="4"/>
  <c r="Z12" i="4"/>
  <c r="Y12" i="4"/>
  <c r="X12" i="4"/>
  <c r="W12" i="4"/>
  <c r="V12" i="4"/>
  <c r="U12" i="4"/>
  <c r="T12" i="4"/>
  <c r="S12" i="4"/>
  <c r="R12" i="4"/>
  <c r="Q12" i="4"/>
  <c r="Z11" i="4"/>
  <c r="Y11" i="4"/>
  <c r="X11" i="4"/>
  <c r="W11" i="4"/>
  <c r="V11" i="4"/>
  <c r="U11" i="4"/>
  <c r="T11" i="4"/>
  <c r="S11" i="4"/>
  <c r="R11" i="4"/>
  <c r="Q11" i="4"/>
  <c r="Z10" i="4"/>
  <c r="Y10" i="4"/>
  <c r="X10" i="4"/>
  <c r="W10" i="4"/>
  <c r="V10" i="4"/>
  <c r="U10" i="4"/>
  <c r="T10" i="4"/>
  <c r="S10" i="4"/>
  <c r="R10" i="4"/>
  <c r="Q10" i="4"/>
  <c r="Z9" i="4"/>
  <c r="Y9" i="4"/>
  <c r="X9" i="4"/>
  <c r="W9" i="4"/>
  <c r="V9" i="4"/>
  <c r="U9" i="4"/>
  <c r="T9" i="4"/>
  <c r="S9" i="4"/>
  <c r="R9" i="4"/>
  <c r="Q9" i="4"/>
  <c r="Z8" i="4"/>
  <c r="Y8" i="4"/>
  <c r="X8" i="4"/>
  <c r="W8" i="4"/>
  <c r="V8" i="4"/>
  <c r="U8" i="4"/>
  <c r="T8" i="4"/>
  <c r="S8" i="4"/>
  <c r="R8" i="4"/>
  <c r="Q8" i="4"/>
  <c r="AA24" i="4" l="1"/>
  <c r="C5" i="11"/>
  <c r="D29" i="17" l="1"/>
  <c r="P59" i="17" s="1"/>
  <c r="C29" i="17"/>
  <c r="O59" i="17" s="1"/>
  <c r="D28" i="17"/>
  <c r="P58" i="17" s="1"/>
  <c r="C28" i="17"/>
  <c r="O58" i="17" s="1"/>
  <c r="D27" i="17"/>
  <c r="P57" i="17" s="1"/>
  <c r="C27" i="17"/>
  <c r="O57" i="17" s="1"/>
  <c r="D26" i="17"/>
  <c r="P56" i="17" s="1"/>
  <c r="C26" i="17"/>
  <c r="O56" i="17" s="1"/>
  <c r="D25" i="17"/>
  <c r="P55" i="17" s="1"/>
  <c r="C25" i="17"/>
  <c r="O55" i="17" s="1"/>
  <c r="D24" i="17"/>
  <c r="P54" i="17" s="1"/>
  <c r="C24" i="17"/>
  <c r="O54" i="17" s="1"/>
  <c r="D23" i="17"/>
  <c r="P53" i="17" s="1"/>
  <c r="C23" i="17"/>
  <c r="O53" i="17" s="1"/>
  <c r="D22" i="17"/>
  <c r="P52" i="17" s="1"/>
  <c r="C22" i="17"/>
  <c r="O52" i="17" s="1"/>
  <c r="D21" i="17"/>
  <c r="P51" i="17" s="1"/>
  <c r="C21" i="17"/>
  <c r="O51" i="17" s="1"/>
  <c r="D20" i="17"/>
  <c r="P50" i="17" s="1"/>
  <c r="C20" i="17"/>
  <c r="O50" i="17" s="1"/>
  <c r="T59" i="17"/>
  <c r="T58" i="17"/>
  <c r="T57" i="17"/>
  <c r="T54" i="17"/>
  <c r="T53" i="17"/>
  <c r="T52" i="17"/>
  <c r="T51" i="17"/>
  <c r="AB59" i="17"/>
  <c r="AA59" i="17"/>
  <c r="Z59" i="17"/>
  <c r="X59" i="17"/>
  <c r="W59" i="17"/>
  <c r="V59" i="17"/>
  <c r="U59" i="17"/>
  <c r="AC58" i="17"/>
  <c r="AB58" i="17"/>
  <c r="Z58" i="17"/>
  <c r="X58" i="17"/>
  <c r="W58" i="17"/>
  <c r="V58" i="17"/>
  <c r="U58" i="17"/>
  <c r="AC57" i="17"/>
  <c r="Z57" i="17"/>
  <c r="Y57" i="17"/>
  <c r="X57" i="17"/>
  <c r="W57" i="17"/>
  <c r="V57" i="17"/>
  <c r="U57" i="17"/>
  <c r="AA56" i="17"/>
  <c r="W56" i="17"/>
  <c r="V56" i="17"/>
  <c r="AA55" i="17"/>
  <c r="Z55" i="17"/>
  <c r="Y55" i="17"/>
  <c r="X55" i="17"/>
  <c r="W55" i="17"/>
  <c r="V55" i="17"/>
  <c r="U55" i="17"/>
  <c r="AC54" i="17"/>
  <c r="AB54" i="17"/>
  <c r="AA54" i="17"/>
  <c r="Y54" i="17"/>
  <c r="X54" i="17"/>
  <c r="V54" i="17"/>
  <c r="AC53" i="17"/>
  <c r="Z53" i="17"/>
  <c r="Y53" i="17"/>
  <c r="W53" i="17"/>
  <c r="V53" i="17"/>
  <c r="U53" i="17"/>
  <c r="AB52" i="17"/>
  <c r="Z52" i="17"/>
  <c r="X52" i="17"/>
  <c r="W52" i="17"/>
  <c r="V52" i="17"/>
  <c r="U52" i="17"/>
  <c r="AB51" i="17"/>
  <c r="X51" i="17"/>
  <c r="V51" i="17"/>
  <c r="AC50" i="17"/>
  <c r="AB50" i="17"/>
  <c r="Z50" i="17"/>
  <c r="Y50" i="17"/>
  <c r="X50" i="17"/>
  <c r="W50" i="17"/>
  <c r="V50" i="17"/>
  <c r="U50" i="17"/>
  <c r="AA58" i="17"/>
  <c r="AB57" i="17"/>
  <c r="AC56" i="17"/>
  <c r="U56" i="17"/>
  <c r="AC55" i="17"/>
  <c r="T55" i="17"/>
  <c r="W54" i="17"/>
  <c r="X53" i="17"/>
  <c r="Y52" i="17"/>
  <c r="Z51" i="17"/>
  <c r="AA50" i="17"/>
  <c r="J58" i="17" l="1"/>
  <c r="C58" i="17"/>
  <c r="G58" i="17"/>
  <c r="F58" i="17"/>
  <c r="I58" i="17"/>
  <c r="H58" i="17"/>
  <c r="B58" i="17"/>
  <c r="E58" i="17"/>
  <c r="D58" i="17"/>
  <c r="K58" i="17"/>
  <c r="J57" i="17"/>
  <c r="I57" i="17"/>
  <c r="C57" i="17"/>
  <c r="F57" i="17"/>
  <c r="H57" i="17"/>
  <c r="G57" i="17"/>
  <c r="E57" i="17"/>
  <c r="B57" i="17"/>
  <c r="D57" i="17"/>
  <c r="K57" i="17"/>
  <c r="J59" i="17"/>
  <c r="I59" i="17"/>
  <c r="G59" i="17"/>
  <c r="F59" i="17"/>
  <c r="H59" i="17"/>
  <c r="B59" i="17"/>
  <c r="E59" i="17"/>
  <c r="D59" i="17"/>
  <c r="K59" i="17"/>
  <c r="C59" i="17"/>
  <c r="J56" i="17"/>
  <c r="I56" i="17"/>
  <c r="H56" i="17"/>
  <c r="C56" i="17"/>
  <c r="B56" i="17"/>
  <c r="G56" i="17"/>
  <c r="F56" i="17"/>
  <c r="E56" i="17"/>
  <c r="D56" i="17"/>
  <c r="K56" i="17"/>
  <c r="J53" i="17"/>
  <c r="I53" i="17"/>
  <c r="H53" i="17"/>
  <c r="G53" i="17"/>
  <c r="F53" i="17"/>
  <c r="E53" i="17"/>
  <c r="C53" i="17"/>
  <c r="B53" i="17"/>
  <c r="D53" i="17"/>
  <c r="K53" i="17"/>
  <c r="J54" i="17"/>
  <c r="I54" i="17"/>
  <c r="H54" i="17"/>
  <c r="G54" i="17"/>
  <c r="F54" i="17"/>
  <c r="C54" i="17"/>
  <c r="B54" i="17"/>
  <c r="E54" i="17"/>
  <c r="D54" i="17"/>
  <c r="K54" i="17"/>
  <c r="J55" i="17"/>
  <c r="I55" i="17"/>
  <c r="H55" i="17"/>
  <c r="G55" i="17"/>
  <c r="C55" i="17"/>
  <c r="B55" i="17"/>
  <c r="F55" i="17"/>
  <c r="E55" i="17"/>
  <c r="D55" i="17"/>
  <c r="K55" i="17"/>
  <c r="K52" i="17"/>
  <c r="I52" i="17"/>
  <c r="J52" i="17"/>
  <c r="H52" i="17"/>
  <c r="G52" i="17"/>
  <c r="F52" i="17"/>
  <c r="C52" i="17"/>
  <c r="B52" i="17"/>
  <c r="E52" i="17"/>
  <c r="D52" i="17"/>
  <c r="B51" i="17"/>
  <c r="K51" i="17"/>
  <c r="J51" i="17"/>
  <c r="E51" i="17"/>
  <c r="I51" i="17"/>
  <c r="H51" i="17"/>
  <c r="G51" i="17"/>
  <c r="F51" i="17"/>
  <c r="C51" i="17"/>
  <c r="D51" i="17"/>
  <c r="AC52" i="17"/>
  <c r="AB53" i="17"/>
  <c r="Y56" i="17"/>
  <c r="AB56" i="17"/>
  <c r="AC51" i="17"/>
  <c r="Y59" i="17"/>
  <c r="X56" i="17"/>
  <c r="X60" i="17" s="1"/>
  <c r="Y58" i="17"/>
  <c r="AB55" i="17"/>
  <c r="AA52" i="17"/>
  <c r="Z56" i="17"/>
  <c r="C34" i="17"/>
  <c r="J48" i="17"/>
  <c r="G28" i="17" s="1"/>
  <c r="U51" i="17"/>
  <c r="F48" i="17"/>
  <c r="AA53" i="17"/>
  <c r="Z54" i="17"/>
  <c r="AA57" i="17"/>
  <c r="Y51" i="17"/>
  <c r="AC59" i="17"/>
  <c r="E48" i="17"/>
  <c r="I48" i="17"/>
  <c r="D48" i="17"/>
  <c r="H48" i="17"/>
  <c r="U54" i="17"/>
  <c r="T56" i="17"/>
  <c r="C48" i="17"/>
  <c r="G48" i="17"/>
  <c r="K48" i="17"/>
  <c r="G29" i="17" s="1"/>
  <c r="W51" i="17"/>
  <c r="W60" i="17" s="1"/>
  <c r="AA51" i="17"/>
  <c r="V60" i="17"/>
  <c r="C28" i="11"/>
  <c r="B29" i="11"/>
  <c r="B28" i="11"/>
  <c r="AB60" i="17" l="1"/>
  <c r="AC60" i="17"/>
  <c r="Y60" i="17"/>
  <c r="U60" i="17"/>
  <c r="Z60" i="17"/>
  <c r="M12" i="12"/>
  <c r="M15" i="12"/>
  <c r="N15" i="12" s="1"/>
  <c r="M6" i="12"/>
  <c r="M9" i="12"/>
  <c r="N9" i="12" s="1"/>
  <c r="M7" i="12"/>
  <c r="N7" i="12" s="1"/>
  <c r="M8" i="12"/>
  <c r="N8" i="12" s="1"/>
  <c r="M10" i="12"/>
  <c r="N10" i="12" s="1"/>
  <c r="M13" i="12"/>
  <c r="N13" i="12" s="1"/>
  <c r="M14" i="12"/>
  <c r="N14" i="12" s="1"/>
  <c r="M11" i="12"/>
  <c r="I28" i="17"/>
  <c r="L48" i="17"/>
  <c r="I29" i="17"/>
  <c r="AA60" i="17"/>
  <c r="C113" i="17" a="1"/>
  <c r="C95" i="17" a="1"/>
  <c r="C130" i="17" a="1"/>
  <c r="C106" i="17" a="1"/>
  <c r="C86" i="17" a="1"/>
  <c r="C86" i="17" s="1"/>
  <c r="C121" i="17" a="1"/>
  <c r="L59" i="17"/>
  <c r="C100" i="17" a="1"/>
  <c r="C88" i="17" a="1"/>
  <c r="C91" i="17" a="1"/>
  <c r="L58" i="17"/>
  <c r="L55" i="17"/>
  <c r="L53" i="17"/>
  <c r="L51" i="17"/>
  <c r="L57" i="17"/>
  <c r="L56" i="17"/>
  <c r="L54" i="17"/>
  <c r="L52" i="17"/>
  <c r="AA145" i="16"/>
  <c r="Z145" i="16"/>
  <c r="Y145" i="16"/>
  <c r="X145" i="16"/>
  <c r="W145" i="16"/>
  <c r="V145" i="16"/>
  <c r="AA144" i="16"/>
  <c r="Z144" i="16"/>
  <c r="Y144" i="16"/>
  <c r="X144" i="16"/>
  <c r="W144" i="16"/>
  <c r="AA143" i="16"/>
  <c r="Z143" i="16"/>
  <c r="Y143" i="16"/>
  <c r="X143" i="16"/>
  <c r="W143" i="16"/>
  <c r="AA142" i="16"/>
  <c r="Z142" i="16"/>
  <c r="Y142" i="16"/>
  <c r="X142" i="16"/>
  <c r="W142" i="16"/>
  <c r="V142" i="16"/>
  <c r="AA141" i="16"/>
  <c r="Z141" i="16"/>
  <c r="Y141" i="16"/>
  <c r="X141" i="16"/>
  <c r="W141" i="16"/>
  <c r="AA140" i="16"/>
  <c r="Z140" i="16"/>
  <c r="Y140" i="16"/>
  <c r="X140" i="16"/>
  <c r="W140" i="16"/>
  <c r="AA139" i="16"/>
  <c r="Z139" i="16"/>
  <c r="Y139" i="16"/>
  <c r="X139" i="16"/>
  <c r="W139" i="16"/>
  <c r="AA138" i="16"/>
  <c r="Z138" i="16"/>
  <c r="Y138" i="16"/>
  <c r="X138" i="16"/>
  <c r="W138" i="16"/>
  <c r="V138" i="16"/>
  <c r="AA137" i="16"/>
  <c r="Z137" i="16"/>
  <c r="Y137" i="16"/>
  <c r="X137" i="16"/>
  <c r="W137" i="16"/>
  <c r="AA136" i="16"/>
  <c r="Z136" i="16"/>
  <c r="Y136" i="16"/>
  <c r="X136" i="16"/>
  <c r="W136" i="16"/>
  <c r="S145" i="16"/>
  <c r="T145" i="16" s="1"/>
  <c r="T144" i="16"/>
  <c r="S144" i="16"/>
  <c r="T143" i="16"/>
  <c r="S143" i="16"/>
  <c r="S142" i="16"/>
  <c r="T142" i="16" s="1"/>
  <c r="S141" i="16"/>
  <c r="T141" i="16" s="1"/>
  <c r="T140" i="16"/>
  <c r="S140" i="16"/>
  <c r="S139" i="16"/>
  <c r="T139" i="16" s="1"/>
  <c r="S138" i="16"/>
  <c r="T138" i="16" s="1"/>
  <c r="S137" i="16"/>
  <c r="T137" i="16" s="1"/>
  <c r="T136" i="16"/>
  <c r="S136" i="16"/>
  <c r="P88" i="16"/>
  <c r="R145" i="16"/>
  <c r="R144" i="16"/>
  <c r="R143" i="16"/>
  <c r="R142" i="16"/>
  <c r="R141" i="16"/>
  <c r="R140" i="16"/>
  <c r="R139" i="16"/>
  <c r="R138" i="16"/>
  <c r="R137" i="16"/>
  <c r="R136" i="16"/>
  <c r="N11" i="12" l="1"/>
  <c r="D58" i="12"/>
  <c r="C45" i="12" s="1"/>
  <c r="U142" i="16"/>
  <c r="C58" i="12"/>
  <c r="C57" i="12"/>
  <c r="N12" i="12"/>
  <c r="D57" i="12"/>
  <c r="C30" i="12" s="1"/>
  <c r="N6" i="12"/>
  <c r="U138" i="16"/>
  <c r="T63" i="17"/>
  <c r="U143" i="16"/>
  <c r="V143" i="16" s="1"/>
  <c r="U136" i="16"/>
  <c r="V136" i="16" s="1"/>
  <c r="U145" i="16"/>
  <c r="U139" i="16"/>
  <c r="V139" i="16" s="1"/>
  <c r="G38" i="17"/>
  <c r="K138" i="17"/>
  <c r="K71" i="17" s="1"/>
  <c r="G138" i="17"/>
  <c r="G71" i="17" s="1"/>
  <c r="C138" i="17"/>
  <c r="C71" i="17" s="1"/>
  <c r="H137" i="17"/>
  <c r="D137" i="17"/>
  <c r="I136" i="17"/>
  <c r="E136" i="17"/>
  <c r="J135" i="17"/>
  <c r="F135" i="17"/>
  <c r="K134" i="17"/>
  <c r="K67" i="17" s="1"/>
  <c r="G134" i="17"/>
  <c r="C134" i="17"/>
  <c r="H133" i="17"/>
  <c r="D133" i="17"/>
  <c r="I132" i="17"/>
  <c r="E132" i="17"/>
  <c r="J131" i="17"/>
  <c r="F131" i="17"/>
  <c r="K130" i="17"/>
  <c r="K63" i="17" s="1"/>
  <c r="G130" i="17"/>
  <c r="C130" i="17"/>
  <c r="J138" i="17"/>
  <c r="J71" i="17" s="1"/>
  <c r="F138" i="17"/>
  <c r="F71" i="17" s="1"/>
  <c r="K137" i="17"/>
  <c r="K70" i="17" s="1"/>
  <c r="G137" i="17"/>
  <c r="C137" i="17"/>
  <c r="H136" i="17"/>
  <c r="D136" i="17"/>
  <c r="I135" i="17"/>
  <c r="E135" i="17"/>
  <c r="J134" i="17"/>
  <c r="F134" i="17"/>
  <c r="K133" i="17"/>
  <c r="K66" i="17" s="1"/>
  <c r="G133" i="17"/>
  <c r="C133" i="17"/>
  <c r="H132" i="17"/>
  <c r="D132" i="17"/>
  <c r="I131" i="17"/>
  <c r="E131" i="17"/>
  <c r="J130" i="17"/>
  <c r="F130" i="17"/>
  <c r="I138" i="17"/>
  <c r="I71" i="17" s="1"/>
  <c r="J137" i="17"/>
  <c r="K136" i="17"/>
  <c r="K69" i="17" s="1"/>
  <c r="C136" i="17"/>
  <c r="D135" i="17"/>
  <c r="E134" i="17"/>
  <c r="F133" i="17"/>
  <c r="G132" i="17"/>
  <c r="H131" i="17"/>
  <c r="I130" i="17"/>
  <c r="H138" i="17"/>
  <c r="H71" i="17" s="1"/>
  <c r="I137" i="17"/>
  <c r="J136" i="17"/>
  <c r="K135" i="17"/>
  <c r="K68" i="17" s="1"/>
  <c r="C135" i="17"/>
  <c r="D134" i="17"/>
  <c r="E133" i="17"/>
  <c r="F132" i="17"/>
  <c r="G131" i="17"/>
  <c r="H130" i="17"/>
  <c r="E138" i="17"/>
  <c r="E71" i="17" s="1"/>
  <c r="F137" i="17"/>
  <c r="G136" i="17"/>
  <c r="H135" i="17"/>
  <c r="I134" i="17"/>
  <c r="J133" i="17"/>
  <c r="K132" i="17"/>
  <c r="K65" i="17" s="1"/>
  <c r="C132" i="17"/>
  <c r="D131" i="17"/>
  <c r="E130" i="17"/>
  <c r="D138" i="17"/>
  <c r="D71" i="17" s="1"/>
  <c r="H134" i="17"/>
  <c r="C131" i="17"/>
  <c r="G135" i="17"/>
  <c r="E137" i="17"/>
  <c r="I133" i="17"/>
  <c r="D130" i="17"/>
  <c r="K131" i="17"/>
  <c r="K64" i="17" s="1"/>
  <c r="F136" i="17"/>
  <c r="J132" i="17"/>
  <c r="C89" i="17"/>
  <c r="D88" i="17"/>
  <c r="C88" i="17"/>
  <c r="D89" i="17"/>
  <c r="E92" i="17"/>
  <c r="D91" i="17"/>
  <c r="E93" i="17"/>
  <c r="D92" i="17"/>
  <c r="C91" i="17"/>
  <c r="C92" i="17"/>
  <c r="E91" i="17"/>
  <c r="D93" i="17"/>
  <c r="C93" i="17"/>
  <c r="H128" i="17"/>
  <c r="D128" i="17"/>
  <c r="H127" i="17"/>
  <c r="D127" i="17"/>
  <c r="H126" i="17"/>
  <c r="D126" i="17"/>
  <c r="H125" i="17"/>
  <c r="D125" i="17"/>
  <c r="H124" i="17"/>
  <c r="D124" i="17"/>
  <c r="H123" i="17"/>
  <c r="D123" i="17"/>
  <c r="H122" i="17"/>
  <c r="D122" i="17"/>
  <c r="H121" i="17"/>
  <c r="D121" i="17"/>
  <c r="G128" i="17"/>
  <c r="C128" i="17"/>
  <c r="G127" i="17"/>
  <c r="C127" i="17"/>
  <c r="G126" i="17"/>
  <c r="C126" i="17"/>
  <c r="G125" i="17"/>
  <c r="C125" i="17"/>
  <c r="G124" i="17"/>
  <c r="C124" i="17"/>
  <c r="G123" i="17"/>
  <c r="C123" i="17"/>
  <c r="G122" i="17"/>
  <c r="C122" i="17"/>
  <c r="G121" i="17"/>
  <c r="C121" i="17"/>
  <c r="J128" i="17"/>
  <c r="J127" i="17"/>
  <c r="J126" i="17"/>
  <c r="J125" i="17"/>
  <c r="J124" i="17"/>
  <c r="J123" i="17"/>
  <c r="J122" i="17"/>
  <c r="J121" i="17"/>
  <c r="I128" i="17"/>
  <c r="I127" i="17"/>
  <c r="I126" i="17"/>
  <c r="I125" i="17"/>
  <c r="I124" i="17"/>
  <c r="I123" i="17"/>
  <c r="I122" i="17"/>
  <c r="I121" i="17"/>
  <c r="F128" i="17"/>
  <c r="F127" i="17"/>
  <c r="F126" i="17"/>
  <c r="F125" i="17"/>
  <c r="F124" i="17"/>
  <c r="F123" i="17"/>
  <c r="F122" i="17"/>
  <c r="F121" i="17"/>
  <c r="E126" i="17"/>
  <c r="E122" i="17"/>
  <c r="E127" i="17"/>
  <c r="E123" i="17"/>
  <c r="E125" i="17"/>
  <c r="E121" i="17"/>
  <c r="E128" i="17"/>
  <c r="E124" i="17"/>
  <c r="F98" i="17"/>
  <c r="F97" i="17"/>
  <c r="F96" i="17"/>
  <c r="F95" i="17"/>
  <c r="E98" i="17"/>
  <c r="E97" i="17"/>
  <c r="E96" i="17"/>
  <c r="E95" i="17"/>
  <c r="D97" i="17"/>
  <c r="D95" i="17"/>
  <c r="C97" i="17"/>
  <c r="C95" i="17"/>
  <c r="D98" i="17"/>
  <c r="D96" i="17"/>
  <c r="C98" i="17"/>
  <c r="C96" i="17"/>
  <c r="H119" i="17"/>
  <c r="D119" i="17"/>
  <c r="G118" i="17"/>
  <c r="C118" i="17"/>
  <c r="F117" i="17"/>
  <c r="I116" i="17"/>
  <c r="E116" i="17"/>
  <c r="H115" i="17"/>
  <c r="D115" i="17"/>
  <c r="G114" i="17"/>
  <c r="C114" i="17"/>
  <c r="F113" i="17"/>
  <c r="G119" i="17"/>
  <c r="C119" i="17"/>
  <c r="F118" i="17"/>
  <c r="I117" i="17"/>
  <c r="E117" i="17"/>
  <c r="H116" i="17"/>
  <c r="D116" i="17"/>
  <c r="G115" i="17"/>
  <c r="C115" i="17"/>
  <c r="F114" i="17"/>
  <c r="I113" i="17"/>
  <c r="E113" i="17"/>
  <c r="I118" i="17"/>
  <c r="H117" i="17"/>
  <c r="G116" i="17"/>
  <c r="F115" i="17"/>
  <c r="E114" i="17"/>
  <c r="D113" i="17"/>
  <c r="I119" i="17"/>
  <c r="H118" i="17"/>
  <c r="G117" i="17"/>
  <c r="F116" i="17"/>
  <c r="E115" i="17"/>
  <c r="D114" i="17"/>
  <c r="C113" i="17"/>
  <c r="F119" i="17"/>
  <c r="E118" i="17"/>
  <c r="D117" i="17"/>
  <c r="C116" i="17"/>
  <c r="I114" i="17"/>
  <c r="H113" i="17"/>
  <c r="C117" i="17"/>
  <c r="D118" i="17"/>
  <c r="G113" i="17"/>
  <c r="I115" i="17"/>
  <c r="E119" i="17"/>
  <c r="H114" i="17"/>
  <c r="E104" i="17"/>
  <c r="F103" i="17"/>
  <c r="G102" i="17"/>
  <c r="C102" i="17"/>
  <c r="D101" i="17"/>
  <c r="E100" i="17"/>
  <c r="D104" i="17"/>
  <c r="E103" i="17"/>
  <c r="F102" i="17"/>
  <c r="G101" i="17"/>
  <c r="C101" i="17"/>
  <c r="D100" i="17"/>
  <c r="G104" i="17"/>
  <c r="D103" i="17"/>
  <c r="F101" i="17"/>
  <c r="C100" i="17"/>
  <c r="F104" i="17"/>
  <c r="C103" i="17"/>
  <c r="E101" i="17"/>
  <c r="C104" i="17"/>
  <c r="E102" i="17"/>
  <c r="G100" i="17"/>
  <c r="F100" i="17"/>
  <c r="G103" i="17"/>
  <c r="D102" i="17"/>
  <c r="E111" i="17"/>
  <c r="G110" i="17"/>
  <c r="C110" i="17"/>
  <c r="E109" i="17"/>
  <c r="G108" i="17"/>
  <c r="C108" i="17"/>
  <c r="E107" i="17"/>
  <c r="G106" i="17"/>
  <c r="C106" i="17"/>
  <c r="H111" i="17"/>
  <c r="D111" i="17"/>
  <c r="F110" i="17"/>
  <c r="H109" i="17"/>
  <c r="D109" i="17"/>
  <c r="F108" i="17"/>
  <c r="H107" i="17"/>
  <c r="D107" i="17"/>
  <c r="F106" i="17"/>
  <c r="C111" i="17"/>
  <c r="G109" i="17"/>
  <c r="E108" i="17"/>
  <c r="C107" i="17"/>
  <c r="H110" i="17"/>
  <c r="F109" i="17"/>
  <c r="D108" i="17"/>
  <c r="H106" i="17"/>
  <c r="G111" i="17"/>
  <c r="E110" i="17"/>
  <c r="C109" i="17"/>
  <c r="G107" i="17"/>
  <c r="E106" i="17"/>
  <c r="F111" i="17"/>
  <c r="D106" i="17"/>
  <c r="F107" i="17"/>
  <c r="D110" i="17"/>
  <c r="H108" i="17"/>
  <c r="U144" i="16"/>
  <c r="V144" i="16" s="1"/>
  <c r="U141" i="16"/>
  <c r="V141" i="16" s="1"/>
  <c r="U140" i="16"/>
  <c r="V140" i="16" s="1"/>
  <c r="U137" i="16"/>
  <c r="V137" i="16" s="1"/>
  <c r="L100" i="16"/>
  <c r="K100" i="16"/>
  <c r="J100" i="16"/>
  <c r="X97" i="16"/>
  <c r="W97" i="16"/>
  <c r="V97" i="16"/>
  <c r="U97" i="16"/>
  <c r="T97" i="16"/>
  <c r="S97" i="16"/>
  <c r="R97" i="16"/>
  <c r="X96" i="16"/>
  <c r="W96" i="16"/>
  <c r="V96" i="16"/>
  <c r="U96" i="16"/>
  <c r="T96" i="16"/>
  <c r="S96" i="16"/>
  <c r="R96" i="16"/>
  <c r="X95" i="16"/>
  <c r="W95" i="16"/>
  <c r="V95" i="16"/>
  <c r="U95" i="16"/>
  <c r="T95" i="16"/>
  <c r="S95" i="16"/>
  <c r="R95" i="16"/>
  <c r="X94" i="16"/>
  <c r="W94" i="16"/>
  <c r="V94" i="16"/>
  <c r="U94" i="16"/>
  <c r="T94" i="16"/>
  <c r="S94" i="16"/>
  <c r="R94" i="16"/>
  <c r="X93" i="16"/>
  <c r="W93" i="16"/>
  <c r="V93" i="16"/>
  <c r="U93" i="16"/>
  <c r="T93" i="16"/>
  <c r="S93" i="16"/>
  <c r="R93" i="16"/>
  <c r="X92" i="16"/>
  <c r="W92" i="16"/>
  <c r="V92" i="16"/>
  <c r="U92" i="16"/>
  <c r="T92" i="16"/>
  <c r="S92" i="16"/>
  <c r="R92" i="16"/>
  <c r="X91" i="16"/>
  <c r="W91" i="16"/>
  <c r="V91" i="16"/>
  <c r="U91" i="16"/>
  <c r="T91" i="16"/>
  <c r="S91" i="16"/>
  <c r="R91" i="16"/>
  <c r="X90" i="16"/>
  <c r="W90" i="16"/>
  <c r="V90" i="16"/>
  <c r="U90" i="16"/>
  <c r="T90" i="16"/>
  <c r="S90" i="16"/>
  <c r="R90" i="16"/>
  <c r="X89" i="16"/>
  <c r="W89" i="16"/>
  <c r="V89" i="16"/>
  <c r="U89" i="16"/>
  <c r="T89" i="16"/>
  <c r="S89" i="16"/>
  <c r="R89" i="16"/>
  <c r="X88" i="16"/>
  <c r="W88" i="16"/>
  <c r="V88" i="16"/>
  <c r="U88" i="16"/>
  <c r="T88" i="16"/>
  <c r="S88" i="16"/>
  <c r="R88" i="16"/>
  <c r="Q97" i="16"/>
  <c r="Q96" i="16"/>
  <c r="Q95" i="16"/>
  <c r="Q94" i="16"/>
  <c r="Q93" i="16"/>
  <c r="Q92" i="16"/>
  <c r="Q91" i="16"/>
  <c r="Q90" i="16"/>
  <c r="Q89" i="16"/>
  <c r="Q88" i="16"/>
  <c r="P97" i="16"/>
  <c r="P96" i="16"/>
  <c r="P95" i="16"/>
  <c r="P94" i="16"/>
  <c r="P93" i="16"/>
  <c r="P92" i="16"/>
  <c r="P91" i="16"/>
  <c r="P90" i="16"/>
  <c r="O97" i="16"/>
  <c r="O96" i="16"/>
  <c r="O95" i="16"/>
  <c r="O94" i="16"/>
  <c r="O93" i="16"/>
  <c r="O92" i="16"/>
  <c r="O91" i="16"/>
  <c r="O90" i="16"/>
  <c r="P89" i="16"/>
  <c r="O89" i="16"/>
  <c r="O88" i="16"/>
  <c r="G29" i="12" l="1"/>
  <c r="G28" i="12"/>
  <c r="E44" i="12"/>
  <c r="F42" i="12"/>
  <c r="E43" i="12"/>
  <c r="E42" i="12"/>
  <c r="F44" i="12"/>
  <c r="F43" i="12"/>
  <c r="J65" i="17"/>
  <c r="F69" i="17"/>
  <c r="E70" i="17"/>
  <c r="G69" i="17"/>
  <c r="G64" i="17"/>
  <c r="C68" i="17"/>
  <c r="F66" i="17"/>
  <c r="J63" i="17"/>
  <c r="H65" i="17"/>
  <c r="F67" i="17"/>
  <c r="D69" i="17"/>
  <c r="G63" i="17"/>
  <c r="E65" i="17"/>
  <c r="C67" i="17"/>
  <c r="J68" i="17"/>
  <c r="H70" i="17"/>
  <c r="G68" i="17"/>
  <c r="E63" i="17"/>
  <c r="J66" i="17"/>
  <c r="F70" i="17"/>
  <c r="F65" i="17"/>
  <c r="I63" i="17"/>
  <c r="E67" i="17"/>
  <c r="J70" i="17"/>
  <c r="E64" i="17"/>
  <c r="C66" i="17"/>
  <c r="J67" i="17"/>
  <c r="H69" i="17"/>
  <c r="I65" i="17"/>
  <c r="G67" i="17"/>
  <c r="E69" i="17"/>
  <c r="D63" i="17"/>
  <c r="C64" i="17"/>
  <c r="D64" i="17"/>
  <c r="I67" i="17"/>
  <c r="E66" i="17"/>
  <c r="J69" i="17"/>
  <c r="H64" i="17"/>
  <c r="D68" i="17"/>
  <c r="I64" i="17"/>
  <c r="G66" i="17"/>
  <c r="E68" i="17"/>
  <c r="C70" i="17"/>
  <c r="F64" i="17"/>
  <c r="D66" i="17"/>
  <c r="I69" i="17"/>
  <c r="I66" i="17"/>
  <c r="H67" i="17"/>
  <c r="C65" i="17"/>
  <c r="H68" i="17"/>
  <c r="H63" i="17"/>
  <c r="D67" i="17"/>
  <c r="I70" i="17"/>
  <c r="G65" i="17"/>
  <c r="C69" i="17"/>
  <c r="F63" i="17"/>
  <c r="D65" i="17"/>
  <c r="I68" i="17"/>
  <c r="G70" i="17"/>
  <c r="C63" i="17"/>
  <c r="J64" i="17"/>
  <c r="H66" i="17"/>
  <c r="F68" i="17"/>
  <c r="D70" i="17"/>
  <c r="P124" i="16"/>
  <c r="P123" i="16"/>
  <c r="P122" i="16"/>
  <c r="P121" i="16"/>
  <c r="P120" i="16"/>
  <c r="P119" i="16"/>
  <c r="P118" i="16"/>
  <c r="P117" i="16"/>
  <c r="P116" i="16"/>
  <c r="Q124" i="16"/>
  <c r="Q123" i="16"/>
  <c r="Q122" i="16"/>
  <c r="Q121" i="16"/>
  <c r="Q120" i="16"/>
  <c r="Q119" i="16"/>
  <c r="Q118" i="16"/>
  <c r="Q117" i="16"/>
  <c r="Q116" i="16"/>
  <c r="Q115" i="16"/>
  <c r="P115" i="16"/>
  <c r="K122" i="16"/>
  <c r="K123" i="16" s="1"/>
  <c r="K124" i="16" s="1"/>
  <c r="J122" i="16"/>
  <c r="J123" i="16" s="1"/>
  <c r="J124" i="16" s="1"/>
  <c r="I122" i="16"/>
  <c r="I123" i="16" s="1"/>
  <c r="I124" i="16" s="1"/>
  <c r="H122" i="16"/>
  <c r="H123" i="16" s="1"/>
  <c r="H124" i="16" s="1"/>
  <c r="C74" i="17" l="1" a="1"/>
  <c r="C109" i="16"/>
  <c r="C108" i="16"/>
  <c r="C107" i="16"/>
  <c r="C106" i="16"/>
  <c r="C105" i="16"/>
  <c r="C104" i="16"/>
  <c r="C103" i="16"/>
  <c r="C102" i="16"/>
  <c r="C101" i="16"/>
  <c r="C100" i="16"/>
  <c r="J82" i="17" l="1"/>
  <c r="F82" i="17"/>
  <c r="K81" i="17"/>
  <c r="G81" i="17"/>
  <c r="C81" i="17"/>
  <c r="H80" i="17"/>
  <c r="D80" i="17"/>
  <c r="I79" i="17"/>
  <c r="E79" i="17"/>
  <c r="G82" i="17"/>
  <c r="J81" i="17"/>
  <c r="L81" i="17" s="1"/>
  <c r="E81" i="17"/>
  <c r="I80" i="17"/>
  <c r="L80" i="17" s="1"/>
  <c r="C80" i="17"/>
  <c r="G79" i="17"/>
  <c r="K78" i="17"/>
  <c r="G78" i="17"/>
  <c r="L78" i="17" s="1"/>
  <c r="C78" i="17"/>
  <c r="H77" i="17"/>
  <c r="D77" i="17"/>
  <c r="I76" i="17"/>
  <c r="E76" i="17"/>
  <c r="L76" i="17" s="1"/>
  <c r="J75" i="17"/>
  <c r="F75" i="17"/>
  <c r="K74" i="17"/>
  <c r="G74" i="17"/>
  <c r="C74" i="17"/>
  <c r="L74" i="17" s="1"/>
  <c r="K82" i="17"/>
  <c r="L82" i="17" s="1"/>
  <c r="E82" i="17"/>
  <c r="I81" i="17"/>
  <c r="D81" i="17"/>
  <c r="G80" i="17"/>
  <c r="K79" i="17"/>
  <c r="F79" i="17"/>
  <c r="J78" i="17"/>
  <c r="F78" i="17"/>
  <c r="K77" i="17"/>
  <c r="G77" i="17"/>
  <c r="C77" i="17"/>
  <c r="H76" i="17"/>
  <c r="D76" i="17"/>
  <c r="I75" i="17"/>
  <c r="E75" i="17"/>
  <c r="J74" i="17"/>
  <c r="F74" i="17"/>
  <c r="I82" i="17"/>
  <c r="D82" i="17"/>
  <c r="H81" i="17"/>
  <c r="K80" i="17"/>
  <c r="F80" i="17"/>
  <c r="J79" i="17"/>
  <c r="D79" i="17"/>
  <c r="I78" i="17"/>
  <c r="E78" i="17"/>
  <c r="J77" i="17"/>
  <c r="F77" i="17"/>
  <c r="L77" i="17" s="1"/>
  <c r="K76" i="17"/>
  <c r="G76" i="17"/>
  <c r="C76" i="17"/>
  <c r="H75" i="17"/>
  <c r="D75" i="17"/>
  <c r="L75" i="17" s="1"/>
  <c r="I74" i="17"/>
  <c r="E74" i="17"/>
  <c r="F81" i="17"/>
  <c r="C79" i="17"/>
  <c r="E77" i="17"/>
  <c r="G75" i="17"/>
  <c r="C82" i="17"/>
  <c r="H79" i="17"/>
  <c r="L79" i="17" s="1"/>
  <c r="I77" i="17"/>
  <c r="K75" i="17"/>
  <c r="D74" i="17"/>
  <c r="J80" i="17"/>
  <c r="H78" i="17"/>
  <c r="J76" i="17"/>
  <c r="C75" i="17"/>
  <c r="H82" i="17"/>
  <c r="E80" i="17"/>
  <c r="D78" i="17"/>
  <c r="F76" i="17"/>
  <c r="H74" i="17"/>
  <c r="G80" i="16"/>
  <c r="G79" i="16"/>
  <c r="G78" i="16"/>
  <c r="G77" i="16"/>
  <c r="G76" i="16"/>
  <c r="G75" i="16"/>
  <c r="G74" i="16"/>
  <c r="G73" i="16"/>
  <c r="G72" i="16"/>
  <c r="G71" i="16"/>
  <c r="G70" i="16"/>
  <c r="G69" i="16"/>
  <c r="G68" i="16"/>
  <c r="G67" i="16"/>
  <c r="G66" i="16"/>
  <c r="G65" i="16"/>
  <c r="D80" i="16"/>
  <c r="D79" i="16"/>
  <c r="D78" i="16"/>
  <c r="D77" i="16"/>
  <c r="D76" i="16"/>
  <c r="D75" i="16"/>
  <c r="D74" i="16"/>
  <c r="D73" i="16"/>
  <c r="D72" i="16"/>
  <c r="D71" i="16"/>
  <c r="D70" i="16"/>
  <c r="D69" i="16"/>
  <c r="D68" i="16"/>
  <c r="D67" i="16"/>
  <c r="D66" i="16"/>
  <c r="D65" i="16"/>
  <c r="M3" i="16"/>
  <c r="L3" i="16"/>
  <c r="K3" i="16"/>
  <c r="J3" i="16"/>
  <c r="I3" i="16"/>
  <c r="H3" i="16"/>
  <c r="G3" i="16"/>
  <c r="F3" i="16"/>
  <c r="E3" i="16"/>
  <c r="H1" i="16"/>
  <c r="G1" i="16"/>
  <c r="B7" i="16" s="1"/>
  <c r="T21" i="16"/>
  <c r="T20" i="16"/>
  <c r="T19" i="16"/>
  <c r="T18" i="16"/>
  <c r="T17" i="16"/>
  <c r="T16" i="16"/>
  <c r="T15" i="16"/>
  <c r="T14" i="16"/>
  <c r="T13" i="16"/>
  <c r="T12" i="16"/>
  <c r="T11" i="16"/>
  <c r="T10" i="16"/>
  <c r="T9" i="16"/>
  <c r="T8" i="16"/>
  <c r="T7" i="16"/>
  <c r="T6" i="16"/>
  <c r="Q6" i="16"/>
  <c r="Q21" i="16"/>
  <c r="Q20" i="16"/>
  <c r="Q19" i="16"/>
  <c r="Q18" i="16"/>
  <c r="Q17" i="16"/>
  <c r="Q16" i="16"/>
  <c r="Q15" i="16"/>
  <c r="Q14" i="16"/>
  <c r="Q13" i="16"/>
  <c r="Q12" i="16"/>
  <c r="Q11" i="16"/>
  <c r="Q10" i="16"/>
  <c r="Q9" i="16"/>
  <c r="Q8" i="16"/>
  <c r="Q7" i="16"/>
  <c r="C21" i="16"/>
  <c r="C20" i="16"/>
  <c r="C19" i="16"/>
  <c r="C18" i="16"/>
  <c r="C17" i="16"/>
  <c r="C16" i="16"/>
  <c r="C15" i="16"/>
  <c r="C14" i="16"/>
  <c r="C13" i="16"/>
  <c r="C12" i="16"/>
  <c r="C11" i="16"/>
  <c r="C10" i="16"/>
  <c r="C9" i="16"/>
  <c r="C8" i="16"/>
  <c r="C7" i="16"/>
  <c r="C6" i="16"/>
  <c r="T64" i="17" l="1"/>
  <c r="B8" i="16"/>
  <c r="B9" i="16" s="1"/>
  <c r="B10" i="16" s="1"/>
  <c r="B11" i="16" s="1"/>
  <c r="B12" i="16" s="1"/>
  <c r="B13" i="16" s="1"/>
  <c r="B14" i="16" s="1"/>
  <c r="B15" i="16" s="1"/>
  <c r="B16" i="16" s="1"/>
  <c r="B17" i="16" s="1"/>
  <c r="B18" i="16" s="1"/>
  <c r="B19" i="16" s="1"/>
  <c r="B20" i="16" s="1"/>
  <c r="B21" i="16" l="1"/>
  <c r="B22" i="16" s="1"/>
  <c r="B172" i="8" l="1"/>
  <c r="E172" i="8"/>
  <c r="A172" i="8"/>
  <c r="D172" i="8"/>
  <c r="C172" i="8"/>
  <c r="N7" i="16"/>
  <c r="N8" i="16"/>
  <c r="N9" i="16"/>
  <c r="K39" i="11"/>
  <c r="L28" i="11"/>
  <c r="K43" i="11"/>
  <c r="K42" i="11"/>
  <c r="K41" i="11"/>
  <c r="K40" i="11"/>
  <c r="K38" i="11"/>
  <c r="K37" i="11"/>
  <c r="K36" i="11"/>
  <c r="K35" i="11"/>
  <c r="K34" i="11"/>
  <c r="K33" i="11"/>
  <c r="K32" i="11"/>
  <c r="K31" i="11"/>
  <c r="K30" i="11"/>
  <c r="K29" i="11"/>
  <c r="K28" i="11"/>
  <c r="B43" i="11"/>
  <c r="B42" i="11"/>
  <c r="B41" i="11"/>
  <c r="B40" i="11"/>
  <c r="B39" i="11"/>
  <c r="B38" i="11"/>
  <c r="B37" i="11"/>
  <c r="B36" i="11"/>
  <c r="B35" i="11"/>
  <c r="B34" i="11"/>
  <c r="B33" i="11"/>
  <c r="B32" i="11"/>
  <c r="B31" i="11"/>
  <c r="B30" i="11"/>
  <c r="K45" i="11" l="1"/>
  <c r="K23" i="11" s="1"/>
  <c r="K24" i="11" s="1"/>
  <c r="N10" i="16"/>
  <c r="B45" i="11"/>
  <c r="B23" i="11" s="1"/>
  <c r="B24" i="11" s="1"/>
  <c r="N11" i="16" l="1"/>
  <c r="N12" i="16" l="1"/>
  <c r="N13" i="16" l="1"/>
  <c r="N14" i="16" l="1"/>
  <c r="N15" i="16" l="1"/>
  <c r="N16" i="16" l="1"/>
  <c r="N17" i="16" l="1"/>
  <c r="N18" i="16" l="1"/>
  <c r="N19" i="16" l="1"/>
  <c r="AD13" i="4"/>
  <c r="N20" i="16" l="1"/>
  <c r="N21" i="16" l="1"/>
  <c r="B31" i="13"/>
  <c r="AS8" i="4"/>
  <c r="B178" i="8" l="1"/>
  <c r="B179" i="8" s="1"/>
  <c r="B180" i="8" s="1"/>
  <c r="B181" i="8" s="1"/>
  <c r="B182" i="8" s="1"/>
  <c r="B183" i="8" s="1"/>
  <c r="B184" i="8" s="1"/>
  <c r="B185" i="8" s="1"/>
  <c r="B186" i="8" s="1"/>
  <c r="B187" i="8" s="1"/>
  <c r="B188" i="8" s="1"/>
  <c r="B189" i="8" s="1"/>
  <c r="B190" i="8" s="1"/>
  <c r="B191" i="8" s="1"/>
  <c r="B192" i="8" s="1"/>
  <c r="I24" i="8" l="1"/>
  <c r="D42" i="8"/>
  <c r="D41" i="8"/>
  <c r="D40" i="8"/>
  <c r="D39" i="8"/>
  <c r="D38" i="8"/>
  <c r="D37" i="8"/>
  <c r="D36" i="8"/>
  <c r="D35" i="8"/>
  <c r="D34" i="8"/>
  <c r="D33" i="8"/>
  <c r="D32" i="8"/>
  <c r="D31" i="8"/>
  <c r="D30" i="8"/>
  <c r="D29" i="8"/>
  <c r="D28" i="8"/>
  <c r="D27" i="8"/>
  <c r="B42" i="8"/>
  <c r="B41" i="8"/>
  <c r="B40" i="8"/>
  <c r="B39" i="8"/>
  <c r="B38" i="8"/>
  <c r="B37" i="8"/>
  <c r="B36" i="8"/>
  <c r="B35" i="8"/>
  <c r="B34" i="8"/>
  <c r="B33" i="8"/>
  <c r="B32" i="8"/>
  <c r="B31" i="8"/>
  <c r="B30" i="8"/>
  <c r="B29" i="8"/>
  <c r="B28" i="8"/>
  <c r="B27" i="8"/>
  <c r="BB6" i="4"/>
  <c r="BA6" i="4"/>
  <c r="AZ6" i="4"/>
  <c r="AY6" i="4"/>
  <c r="AX6" i="4"/>
  <c r="AW6" i="4"/>
  <c r="AV6" i="4"/>
  <c r="AU6" i="4"/>
  <c r="AT6" i="4"/>
  <c r="AS6" i="4"/>
  <c r="BB23" i="4"/>
  <c r="BA23" i="4"/>
  <c r="AZ23" i="4"/>
  <c r="AY23" i="4"/>
  <c r="AX23" i="4"/>
  <c r="AW23" i="4"/>
  <c r="AV23" i="4"/>
  <c r="AU23" i="4"/>
  <c r="AT23" i="4"/>
  <c r="AS23" i="4"/>
  <c r="BB22" i="4"/>
  <c r="BA22" i="4"/>
  <c r="AZ22" i="4"/>
  <c r="AY22" i="4"/>
  <c r="AX22" i="4"/>
  <c r="AW22" i="4"/>
  <c r="AV22" i="4"/>
  <c r="AU22" i="4"/>
  <c r="AT22" i="4"/>
  <c r="AS22" i="4"/>
  <c r="BB21" i="4"/>
  <c r="BA21" i="4"/>
  <c r="AZ21" i="4"/>
  <c r="AY21" i="4"/>
  <c r="AX21" i="4"/>
  <c r="AW21" i="4"/>
  <c r="AV21" i="4"/>
  <c r="AU21" i="4"/>
  <c r="AT21" i="4"/>
  <c r="AS21" i="4"/>
  <c r="BB20" i="4"/>
  <c r="BA20" i="4"/>
  <c r="AZ20" i="4"/>
  <c r="AY20" i="4"/>
  <c r="AX20" i="4"/>
  <c r="AW20" i="4"/>
  <c r="AV20" i="4"/>
  <c r="AU20" i="4"/>
  <c r="AT20" i="4"/>
  <c r="AS20" i="4"/>
  <c r="BB19" i="4"/>
  <c r="BA19" i="4"/>
  <c r="AZ19" i="4"/>
  <c r="AY19" i="4"/>
  <c r="AX19" i="4"/>
  <c r="AW19" i="4"/>
  <c r="AV19" i="4"/>
  <c r="AU19" i="4"/>
  <c r="AT19" i="4"/>
  <c r="AS19" i="4"/>
  <c r="BB18" i="4"/>
  <c r="BA18" i="4"/>
  <c r="AZ18" i="4"/>
  <c r="AY18" i="4"/>
  <c r="AX18" i="4"/>
  <c r="AW18" i="4"/>
  <c r="AV18" i="4"/>
  <c r="AU18" i="4"/>
  <c r="AT18" i="4"/>
  <c r="AS18" i="4"/>
  <c r="BB17" i="4"/>
  <c r="BA17" i="4"/>
  <c r="AZ17" i="4"/>
  <c r="AY17" i="4"/>
  <c r="AX17" i="4"/>
  <c r="AW17" i="4"/>
  <c r="AV17" i="4"/>
  <c r="AU17" i="4"/>
  <c r="AT17" i="4"/>
  <c r="AS17" i="4"/>
  <c r="BB16" i="4"/>
  <c r="BA16" i="4"/>
  <c r="AZ16" i="4"/>
  <c r="AY16" i="4"/>
  <c r="AX16" i="4"/>
  <c r="AW16" i="4"/>
  <c r="AV16" i="4"/>
  <c r="AU16" i="4"/>
  <c r="AT16" i="4"/>
  <c r="AS16" i="4"/>
  <c r="BB15" i="4"/>
  <c r="BA15" i="4"/>
  <c r="AZ15" i="4"/>
  <c r="AY15" i="4"/>
  <c r="AX15" i="4"/>
  <c r="AW15" i="4"/>
  <c r="AV15" i="4"/>
  <c r="AU15" i="4"/>
  <c r="AT15" i="4"/>
  <c r="AS15" i="4"/>
  <c r="BB14" i="4"/>
  <c r="BA14" i="4"/>
  <c r="AZ14" i="4"/>
  <c r="AY14" i="4"/>
  <c r="AX14" i="4"/>
  <c r="AW14" i="4"/>
  <c r="AV14" i="4"/>
  <c r="AU14" i="4"/>
  <c r="AT14" i="4"/>
  <c r="AS14" i="4"/>
  <c r="BB13" i="4"/>
  <c r="BA13" i="4"/>
  <c r="AZ13" i="4"/>
  <c r="AY13" i="4"/>
  <c r="AX13" i="4"/>
  <c r="AW13" i="4"/>
  <c r="AV13" i="4"/>
  <c r="AU13" i="4"/>
  <c r="AT13" i="4"/>
  <c r="AS13" i="4"/>
  <c r="BB12" i="4"/>
  <c r="BA12" i="4"/>
  <c r="AZ12" i="4"/>
  <c r="AY12" i="4"/>
  <c r="AX12" i="4"/>
  <c r="AW12" i="4"/>
  <c r="AV12" i="4"/>
  <c r="AU12" i="4"/>
  <c r="AT12" i="4"/>
  <c r="AS12" i="4"/>
  <c r="BB11" i="4"/>
  <c r="BA11" i="4"/>
  <c r="AZ11" i="4"/>
  <c r="AY11" i="4"/>
  <c r="AX11" i="4"/>
  <c r="AW11" i="4"/>
  <c r="AV11" i="4"/>
  <c r="AU11" i="4"/>
  <c r="AT11" i="4"/>
  <c r="AS11" i="4"/>
  <c r="BB10" i="4"/>
  <c r="BA10" i="4"/>
  <c r="AZ10" i="4"/>
  <c r="AY10" i="4"/>
  <c r="AX10" i="4"/>
  <c r="AW10" i="4"/>
  <c r="AV10" i="4"/>
  <c r="AU10" i="4"/>
  <c r="AT10" i="4"/>
  <c r="AS10" i="4"/>
  <c r="BB9" i="4"/>
  <c r="BA9" i="4"/>
  <c r="AZ9" i="4"/>
  <c r="AY9" i="4"/>
  <c r="AX9" i="4"/>
  <c r="AW9" i="4"/>
  <c r="AV9" i="4"/>
  <c r="AU9" i="4"/>
  <c r="AT9" i="4"/>
  <c r="AS9" i="4"/>
  <c r="BB8" i="4"/>
  <c r="BA8" i="4"/>
  <c r="AZ8" i="4"/>
  <c r="AY8" i="4"/>
  <c r="AX8" i="4"/>
  <c r="AW8" i="4"/>
  <c r="AV8" i="4"/>
  <c r="AU8" i="4"/>
  <c r="AT8" i="4"/>
  <c r="D24" i="8" l="1"/>
  <c r="B25" i="8"/>
  <c r="BD12" i="4" a="1"/>
  <c r="BD12" i="4" s="1"/>
  <c r="BD9" i="4" a="1"/>
  <c r="BD9" i="4" s="1"/>
  <c r="BD8" i="4" a="1"/>
  <c r="BD8" i="4" s="1"/>
  <c r="E79" i="4" s="1"/>
  <c r="BD11" i="4" a="1"/>
  <c r="BD11" i="4" s="1"/>
  <c r="BD13" i="4" a="1"/>
  <c r="BD13" i="4" s="1"/>
  <c r="E84" i="4" s="1"/>
  <c r="BD14" i="4" a="1"/>
  <c r="BD14" i="4" s="1"/>
  <c r="BD15" i="4" a="1"/>
  <c r="BD15" i="4" s="1"/>
  <c r="BD16" i="4" a="1"/>
  <c r="BD16" i="4" s="1"/>
  <c r="BD17" i="4" a="1"/>
  <c r="BD17" i="4" s="1"/>
  <c r="BD18" i="4" a="1"/>
  <c r="BD18" i="4" s="1"/>
  <c r="BD19" i="4" a="1"/>
  <c r="BD19" i="4" s="1"/>
  <c r="BD20" i="4" a="1"/>
  <c r="BD20" i="4" s="1"/>
  <c r="BD21" i="4" a="1"/>
  <c r="BD21" i="4" s="1"/>
  <c r="BD22" i="4" a="1"/>
  <c r="BD22" i="4" s="1"/>
  <c r="BD23" i="4" a="1"/>
  <c r="BD23" i="4" s="1"/>
  <c r="BD10" i="4" a="1"/>
  <c r="BD10" i="4" s="1"/>
  <c r="C24" i="4"/>
  <c r="D24" i="4" s="1"/>
  <c r="N100" i="4" l="1"/>
  <c r="K92" i="4"/>
  <c r="K88" i="4"/>
  <c r="K84" i="4"/>
  <c r="K80" i="4"/>
  <c r="N78" i="4"/>
  <c r="K86" i="4"/>
  <c r="K91" i="4"/>
  <c r="K83" i="4"/>
  <c r="K93" i="4"/>
  <c r="K89" i="4"/>
  <c r="K85" i="4"/>
  <c r="K81" i="4"/>
  <c r="K94" i="4"/>
  <c r="K90" i="4"/>
  <c r="K82" i="4"/>
  <c r="K87" i="4"/>
  <c r="K79" i="4"/>
  <c r="A27" i="8"/>
  <c r="AD23" i="4"/>
  <c r="AD22" i="4"/>
  <c r="E93" i="4" s="1"/>
  <c r="A41" i="8" s="1"/>
  <c r="AD21" i="4"/>
  <c r="E92" i="4" s="1"/>
  <c r="A40" i="8" s="1"/>
  <c r="AD20" i="4"/>
  <c r="E91" i="4" s="1"/>
  <c r="A39" i="8" s="1"/>
  <c r="AD19" i="4"/>
  <c r="E90" i="4" s="1"/>
  <c r="A38" i="8" s="1"/>
  <c r="AD18" i="4"/>
  <c r="E89" i="4" s="1"/>
  <c r="A37" i="8" s="1"/>
  <c r="AD17" i="4"/>
  <c r="E88" i="4" s="1"/>
  <c r="A36" i="8" s="1"/>
  <c r="AD16" i="4"/>
  <c r="AD15" i="4"/>
  <c r="A32" i="8"/>
  <c r="E83" i="4"/>
  <c r="E80" i="4"/>
  <c r="L90" i="4" l="1"/>
  <c r="L92" i="4"/>
  <c r="M91" i="4"/>
  <c r="M93" i="4"/>
  <c r="M88" i="4"/>
  <c r="M90" i="4"/>
  <c r="L91" i="4"/>
  <c r="M89" i="4"/>
  <c r="L88" i="4"/>
  <c r="M92" i="4"/>
  <c r="L93" i="4"/>
  <c r="L89" i="4"/>
  <c r="AD7" i="4"/>
  <c r="E3" i="4" s="1"/>
  <c r="E86" i="4"/>
  <c r="E94" i="4"/>
  <c r="E87" i="4"/>
  <c r="A19" i="13"/>
  <c r="E85" i="4"/>
  <c r="E81" i="4"/>
  <c r="A31" i="8"/>
  <c r="E82" i="4"/>
  <c r="A34" i="8" l="1"/>
  <c r="M86" i="4"/>
  <c r="L86" i="4"/>
  <c r="A42" i="8"/>
  <c r="M94" i="4"/>
  <c r="L94" i="4"/>
  <c r="A35" i="8"/>
  <c r="M87" i="4"/>
  <c r="L87" i="4"/>
  <c r="N14" i="13"/>
  <c r="O3" i="13"/>
  <c r="A33" i="8"/>
  <c r="A178" i="8"/>
  <c r="A179" i="8" s="1"/>
  <c r="A180" i="8" s="1"/>
  <c r="A181" i="8" s="1"/>
  <c r="A182" i="8" s="1"/>
  <c r="A183" i="8" s="1"/>
  <c r="A184" i="8" s="1"/>
  <c r="A185" i="8" s="1"/>
  <c r="A186" i="8" s="1"/>
  <c r="A187" i="8" s="1"/>
  <c r="A188" i="8" s="1"/>
  <c r="A189" i="8" s="1"/>
  <c r="A190" i="8" s="1"/>
  <c r="A191" i="8" s="1"/>
  <c r="A192" i="8" s="1"/>
  <c r="A29" i="8"/>
  <c r="A30" i="8"/>
  <c r="A28" i="8"/>
  <c r="K20" i="9"/>
  <c r="J20" i="9"/>
  <c r="I20" i="9"/>
  <c r="H20" i="9"/>
  <c r="G20" i="9"/>
  <c r="F20" i="9"/>
  <c r="E20" i="9"/>
  <c r="D20" i="9"/>
  <c r="C20" i="9"/>
  <c r="B20" i="9"/>
  <c r="A20" i="9"/>
  <c r="K19" i="9"/>
  <c r="J19" i="9"/>
  <c r="I19" i="9"/>
  <c r="H19" i="9"/>
  <c r="G19" i="9"/>
  <c r="F19" i="9"/>
  <c r="E19" i="9"/>
  <c r="D19" i="9"/>
  <c r="C19" i="9"/>
  <c r="B19" i="9"/>
  <c r="A19" i="9"/>
  <c r="K18" i="9"/>
  <c r="J18" i="9"/>
  <c r="I18" i="9"/>
  <c r="H18" i="9"/>
  <c r="G18" i="9"/>
  <c r="F18" i="9"/>
  <c r="E18" i="9"/>
  <c r="D18" i="9"/>
  <c r="C18" i="9"/>
  <c r="B18" i="9"/>
  <c r="A18" i="9"/>
  <c r="K17" i="9"/>
  <c r="J17" i="9"/>
  <c r="I17" i="9"/>
  <c r="H17" i="9"/>
  <c r="G17" i="9"/>
  <c r="F17" i="9"/>
  <c r="E17" i="9"/>
  <c r="D17" i="9"/>
  <c r="C17" i="9"/>
  <c r="B17" i="9"/>
  <c r="A17" i="9"/>
  <c r="K16" i="9"/>
  <c r="J16" i="9"/>
  <c r="I16" i="9"/>
  <c r="H16" i="9"/>
  <c r="G16" i="9"/>
  <c r="F16" i="9"/>
  <c r="E16" i="9"/>
  <c r="D16" i="9"/>
  <c r="C16" i="9"/>
  <c r="B16" i="9"/>
  <c r="A16" i="9"/>
  <c r="K15" i="9"/>
  <c r="J15" i="9"/>
  <c r="I15" i="9"/>
  <c r="H15" i="9"/>
  <c r="G15" i="9"/>
  <c r="F15" i="9"/>
  <c r="E15" i="9"/>
  <c r="D15" i="9"/>
  <c r="C15" i="9"/>
  <c r="B15" i="9"/>
  <c r="A15" i="9"/>
  <c r="B24" i="8" l="1"/>
  <c r="J96" i="4" s="1"/>
  <c r="N5" i="12"/>
  <c r="L15" i="9"/>
  <c r="L19" i="9"/>
  <c r="L17" i="9"/>
  <c r="L16" i="9"/>
  <c r="L18" i="9"/>
  <c r="L20" i="9"/>
  <c r="R118" i="8"/>
  <c r="Q117" i="8"/>
  <c r="P116" i="8"/>
  <c r="O115" i="8"/>
  <c r="N114" i="8"/>
  <c r="M113" i="8"/>
  <c r="R72" i="8"/>
  <c r="Q71" i="8"/>
  <c r="P70" i="8"/>
  <c r="O69" i="8"/>
  <c r="N68" i="8"/>
  <c r="M67" i="8"/>
  <c r="D20" i="8"/>
  <c r="D19" i="8"/>
  <c r="D18" i="8"/>
  <c r="D17" i="8"/>
  <c r="D16" i="8"/>
  <c r="D15" i="8"/>
  <c r="D14" i="8"/>
  <c r="D13" i="8"/>
  <c r="B20" i="8"/>
  <c r="G20" i="8" s="1"/>
  <c r="B19" i="8"/>
  <c r="N19" i="8" s="1"/>
  <c r="B18" i="8"/>
  <c r="G18" i="8" s="1"/>
  <c r="B17" i="8"/>
  <c r="G17" i="8" s="1"/>
  <c r="B16" i="8"/>
  <c r="N16" i="8" s="1"/>
  <c r="B15" i="8"/>
  <c r="G15" i="8" s="1"/>
  <c r="B14" i="8"/>
  <c r="G14" i="8" s="1"/>
  <c r="B13" i="8"/>
  <c r="B12" i="8"/>
  <c r="AO23" i="4"/>
  <c r="AN23" i="4"/>
  <c r="AM23" i="4"/>
  <c r="AL23" i="4"/>
  <c r="AK23" i="4"/>
  <c r="AJ23" i="4"/>
  <c r="AI23" i="4"/>
  <c r="AH23" i="4"/>
  <c r="AG23" i="4"/>
  <c r="AF23" i="4"/>
  <c r="AO22" i="4"/>
  <c r="AN22" i="4"/>
  <c r="AM22" i="4"/>
  <c r="AL22" i="4"/>
  <c r="AK22" i="4"/>
  <c r="AJ22" i="4"/>
  <c r="AI22" i="4"/>
  <c r="AH22" i="4"/>
  <c r="AG22" i="4"/>
  <c r="AF22" i="4"/>
  <c r="AO21" i="4"/>
  <c r="AN21" i="4"/>
  <c r="AM21" i="4"/>
  <c r="AL21" i="4"/>
  <c r="AK21" i="4"/>
  <c r="AJ21" i="4"/>
  <c r="AI21" i="4"/>
  <c r="AH21" i="4"/>
  <c r="AG21" i="4"/>
  <c r="AF21" i="4"/>
  <c r="AO20" i="4"/>
  <c r="AN20" i="4"/>
  <c r="AM20" i="4"/>
  <c r="AL20" i="4"/>
  <c r="AK20" i="4"/>
  <c r="AJ20" i="4"/>
  <c r="AI20" i="4"/>
  <c r="AH20" i="4"/>
  <c r="AG20" i="4"/>
  <c r="AF20" i="4"/>
  <c r="AO19" i="4"/>
  <c r="AN19" i="4"/>
  <c r="AM19" i="4"/>
  <c r="AL19" i="4"/>
  <c r="AK19" i="4"/>
  <c r="AJ19" i="4"/>
  <c r="AI19" i="4"/>
  <c r="AH19" i="4"/>
  <c r="AG19" i="4"/>
  <c r="AF19" i="4"/>
  <c r="AO18" i="4"/>
  <c r="AN18" i="4"/>
  <c r="AM18" i="4"/>
  <c r="AL18" i="4"/>
  <c r="AK18" i="4"/>
  <c r="AJ18" i="4"/>
  <c r="AI18" i="4"/>
  <c r="AH18" i="4"/>
  <c r="AG18" i="4"/>
  <c r="AF18" i="4"/>
  <c r="AG17" i="4"/>
  <c r="G13" i="8" l="1"/>
  <c r="O133" i="8"/>
  <c r="N133" i="8"/>
  <c r="O134" i="8"/>
  <c r="N134" i="8"/>
  <c r="O131" i="8"/>
  <c r="N131" i="8"/>
  <c r="O135" i="8"/>
  <c r="N135" i="8"/>
  <c r="O132" i="8"/>
  <c r="N132" i="8"/>
  <c r="O136" i="8"/>
  <c r="N136" i="8"/>
  <c r="O87" i="8"/>
  <c r="N87" i="8"/>
  <c r="M87" i="8"/>
  <c r="L87" i="8"/>
  <c r="M88" i="8"/>
  <c r="O88" i="8"/>
  <c r="L88" i="8"/>
  <c r="N88" i="8"/>
  <c r="N85" i="8"/>
  <c r="M85" i="8"/>
  <c r="L85" i="8"/>
  <c r="O85" i="8"/>
  <c r="N89" i="8"/>
  <c r="M89" i="8"/>
  <c r="L89" i="8"/>
  <c r="O89" i="8"/>
  <c r="O86" i="8"/>
  <c r="L86" i="8"/>
  <c r="N86" i="8"/>
  <c r="M86" i="8"/>
  <c r="O90" i="8"/>
  <c r="L90" i="8"/>
  <c r="N90" i="8"/>
  <c r="M90" i="8"/>
  <c r="O19" i="4"/>
  <c r="P19" i="4" s="1"/>
  <c r="O21" i="4"/>
  <c r="P21" i="4" s="1"/>
  <c r="O22" i="4"/>
  <c r="P22" i="4" s="1"/>
  <c r="O23" i="4"/>
  <c r="P23" i="4" s="1"/>
  <c r="O20" i="4"/>
  <c r="P20" i="4" s="1"/>
  <c r="O18" i="4"/>
  <c r="P18" i="4" s="1"/>
  <c r="G19" i="8"/>
  <c r="N15" i="8"/>
  <c r="N17" i="8"/>
  <c r="N20" i="8"/>
  <c r="G16" i="8"/>
  <c r="N18" i="8"/>
  <c r="J31" i="13"/>
  <c r="G44" i="12" s="1"/>
  <c r="I31" i="13"/>
  <c r="G43" i="12" s="1"/>
  <c r="H31" i="13"/>
  <c r="G42" i="12" s="1"/>
  <c r="G31" i="13"/>
  <c r="F31" i="13"/>
  <c r="E31" i="13"/>
  <c r="D31" i="13"/>
  <c r="C31" i="13"/>
  <c r="A31" i="13"/>
  <c r="AA23" i="4" l="1"/>
  <c r="AA22" i="4"/>
  <c r="AA21" i="4"/>
  <c r="AA18" i="4"/>
  <c r="AA20" i="4"/>
  <c r="AA19" i="4"/>
  <c r="K31" i="13"/>
  <c r="AO13" i="4" l="1"/>
  <c r="AN13" i="4"/>
  <c r="AM13" i="4"/>
  <c r="AL13" i="4"/>
  <c r="AK13" i="4"/>
  <c r="AJ13" i="4"/>
  <c r="AI13" i="4"/>
  <c r="AH13" i="4"/>
  <c r="AG13" i="4"/>
  <c r="AF13" i="4"/>
  <c r="AO12" i="4"/>
  <c r="AN12" i="4"/>
  <c r="AM12" i="4"/>
  <c r="AL12" i="4"/>
  <c r="AK12" i="4"/>
  <c r="AJ12" i="4"/>
  <c r="AI12" i="4"/>
  <c r="AH12" i="4"/>
  <c r="AG12" i="4"/>
  <c r="AF12" i="4"/>
  <c r="AO11" i="4"/>
  <c r="AN11" i="4"/>
  <c r="AM11" i="4"/>
  <c r="AL11" i="4"/>
  <c r="AK11" i="4"/>
  <c r="AJ11" i="4"/>
  <c r="AI11" i="4"/>
  <c r="AH11" i="4"/>
  <c r="AG11" i="4"/>
  <c r="AF11" i="4"/>
  <c r="AO10" i="4"/>
  <c r="AN10" i="4"/>
  <c r="AM10" i="4"/>
  <c r="AL10" i="4"/>
  <c r="AK10" i="4"/>
  <c r="AJ10" i="4"/>
  <c r="AI10" i="4"/>
  <c r="AH10" i="4"/>
  <c r="AG10" i="4"/>
  <c r="AF10" i="4"/>
  <c r="AO9" i="4"/>
  <c r="AN9" i="4"/>
  <c r="AM9" i="4"/>
  <c r="AL9" i="4"/>
  <c r="AK9" i="4"/>
  <c r="AJ9" i="4"/>
  <c r="AI9" i="4"/>
  <c r="AH9" i="4"/>
  <c r="AG9" i="4"/>
  <c r="AF9" i="4"/>
  <c r="AO8" i="4"/>
  <c r="AN8" i="4"/>
  <c r="AM8" i="4"/>
  <c r="AL8" i="4"/>
  <c r="AK8" i="4"/>
  <c r="AJ8" i="4"/>
  <c r="AI8" i="4"/>
  <c r="AH8" i="4"/>
  <c r="AG8" i="4"/>
  <c r="AF8" i="4"/>
  <c r="O8" i="4" l="1"/>
  <c r="O12" i="4"/>
  <c r="P12" i="4" s="1"/>
  <c r="O9" i="4"/>
  <c r="P9" i="4" s="1"/>
  <c r="O13" i="4"/>
  <c r="P13" i="4" s="1"/>
  <c r="O11" i="4"/>
  <c r="O10" i="4"/>
  <c r="P10" i="4" s="1"/>
  <c r="AF6" i="4"/>
  <c r="AG6" i="4"/>
  <c r="AH6" i="4"/>
  <c r="AI6" i="4"/>
  <c r="P11" i="4" l="1"/>
  <c r="P8" i="4"/>
  <c r="AA13" i="4"/>
  <c r="J12" i="15"/>
  <c r="J11" i="15"/>
  <c r="J10" i="15"/>
  <c r="J9" i="15"/>
  <c r="J8" i="15"/>
  <c r="J7" i="15"/>
  <c r="L43" i="11" l="1"/>
  <c r="L42" i="11"/>
  <c r="L37" i="11"/>
  <c r="L39" i="11"/>
  <c r="L41" i="11"/>
  <c r="L38" i="11"/>
  <c r="L40" i="11"/>
  <c r="L34" i="11"/>
  <c r="L35" i="11"/>
  <c r="L36" i="11"/>
  <c r="L29" i="11"/>
  <c r="L30" i="11"/>
  <c r="L31" i="11"/>
  <c r="L32" i="11"/>
  <c r="L33" i="11"/>
  <c r="C41" i="11"/>
  <c r="C30" i="11"/>
  <c r="M28" i="11" l="1" a="1"/>
  <c r="M28" i="11" s="1"/>
  <c r="C34" i="11"/>
  <c r="C43" i="11"/>
  <c r="R6" i="11"/>
  <c r="L45" i="11"/>
  <c r="C42" i="11"/>
  <c r="C33" i="11"/>
  <c r="C29" i="11"/>
  <c r="C32" i="11"/>
  <c r="C31" i="11"/>
  <c r="C38" i="11"/>
  <c r="C36" i="11"/>
  <c r="C35" i="11"/>
  <c r="C40" i="11"/>
  <c r="C39" i="11"/>
  <c r="C37" i="11"/>
  <c r="P23" i="11" l="1"/>
  <c r="O23" i="11" s="1"/>
  <c r="O24" i="11"/>
  <c r="D28" i="11" a="1"/>
  <c r="D28" i="11" s="1"/>
  <c r="N23" i="11"/>
  <c r="I6" i="11"/>
  <c r="C45" i="11"/>
  <c r="G23" i="11" l="1"/>
  <c r="F23" i="11" s="1"/>
  <c r="F24" i="11"/>
  <c r="E23" i="11"/>
  <c r="C25" i="13"/>
  <c r="C26" i="13"/>
  <c r="AB43" i="13"/>
  <c r="AA43" i="13"/>
  <c r="Z43" i="13"/>
  <c r="Y43" i="13"/>
  <c r="X43" i="13"/>
  <c r="W43" i="13"/>
  <c r="V43" i="13"/>
  <c r="U43" i="13"/>
  <c r="T43" i="13"/>
  <c r="S43" i="13"/>
  <c r="AB42" i="13"/>
  <c r="AA42" i="13"/>
  <c r="Z42" i="13"/>
  <c r="Y42" i="13"/>
  <c r="X42" i="13"/>
  <c r="W42" i="13"/>
  <c r="V42" i="13"/>
  <c r="U42" i="13"/>
  <c r="T42" i="13"/>
  <c r="S42" i="13"/>
  <c r="AB41" i="13"/>
  <c r="AA41" i="13"/>
  <c r="Z41" i="13"/>
  <c r="Y41" i="13"/>
  <c r="X41" i="13"/>
  <c r="W41" i="13"/>
  <c r="V41" i="13"/>
  <c r="U41" i="13"/>
  <c r="T41" i="13"/>
  <c r="S41" i="13"/>
  <c r="AB40" i="13"/>
  <c r="AA40" i="13"/>
  <c r="Z40" i="13"/>
  <c r="Y40" i="13"/>
  <c r="X40" i="13"/>
  <c r="W40" i="13"/>
  <c r="V40" i="13"/>
  <c r="U40" i="13"/>
  <c r="T40" i="13"/>
  <c r="S40" i="13"/>
  <c r="AB39" i="13"/>
  <c r="AA39" i="13"/>
  <c r="Z39" i="13"/>
  <c r="Y39" i="13"/>
  <c r="X39" i="13"/>
  <c r="W39" i="13"/>
  <c r="V39" i="13"/>
  <c r="U39" i="13"/>
  <c r="T39" i="13"/>
  <c r="S39" i="13"/>
  <c r="AB38" i="13"/>
  <c r="AA38" i="13"/>
  <c r="Z38" i="13"/>
  <c r="Y38" i="13"/>
  <c r="X38" i="13"/>
  <c r="W38" i="13"/>
  <c r="V38" i="13"/>
  <c r="U38" i="13"/>
  <c r="T38" i="13"/>
  <c r="S38" i="13"/>
  <c r="AB37" i="13"/>
  <c r="AA37" i="13"/>
  <c r="Z37" i="13"/>
  <c r="Y37" i="13"/>
  <c r="X37" i="13"/>
  <c r="W37" i="13"/>
  <c r="V37" i="13"/>
  <c r="U37" i="13"/>
  <c r="T37" i="13"/>
  <c r="S37" i="13"/>
  <c r="AB36" i="13"/>
  <c r="AA36" i="13"/>
  <c r="Z36" i="13"/>
  <c r="Y36" i="13"/>
  <c r="X36" i="13"/>
  <c r="W36" i="13"/>
  <c r="V36" i="13"/>
  <c r="U36" i="13"/>
  <c r="T36" i="13"/>
  <c r="S36" i="13"/>
  <c r="AB35" i="13"/>
  <c r="AA35" i="13"/>
  <c r="Z35" i="13"/>
  <c r="Y35" i="13"/>
  <c r="X35" i="13"/>
  <c r="W35" i="13"/>
  <c r="V35" i="13"/>
  <c r="U35" i="13"/>
  <c r="T35" i="13"/>
  <c r="S35" i="13"/>
  <c r="AB34" i="13"/>
  <c r="AA34" i="13"/>
  <c r="Z34" i="13"/>
  <c r="Y34" i="13"/>
  <c r="X34" i="13"/>
  <c r="W34" i="13"/>
  <c r="V34" i="13"/>
  <c r="U34" i="13"/>
  <c r="T34" i="13"/>
  <c r="S34" i="13"/>
  <c r="U44" i="13" l="1"/>
  <c r="V44" i="13"/>
  <c r="X44" i="13"/>
  <c r="Y44" i="13"/>
  <c r="Z44" i="13"/>
  <c r="S49" i="13"/>
  <c r="T44" i="13"/>
  <c r="AB44" i="13"/>
  <c r="S44" i="13"/>
  <c r="W44" i="13"/>
  <c r="AA44" i="13"/>
  <c r="K34" i="13"/>
  <c r="B68" i="13" a="1"/>
  <c r="B68" i="13" s="1"/>
  <c r="B77" i="13" a="1"/>
  <c r="B73" i="13" a="1"/>
  <c r="B112" i="13" a="1"/>
  <c r="B88" i="13" a="1"/>
  <c r="B103" i="13" a="1"/>
  <c r="B82" i="13" a="1"/>
  <c r="B95" i="13" a="1"/>
  <c r="B70" i="13" a="1"/>
  <c r="K38" i="13"/>
  <c r="K42" i="13"/>
  <c r="K37" i="13"/>
  <c r="K41" i="13"/>
  <c r="K36" i="13"/>
  <c r="K40" i="13"/>
  <c r="K35" i="13"/>
  <c r="K39" i="13"/>
  <c r="S47" i="13" l="1"/>
  <c r="I110" i="13"/>
  <c r="C110" i="13"/>
  <c r="C109" i="13"/>
  <c r="C108" i="13"/>
  <c r="C107" i="13"/>
  <c r="C106" i="13"/>
  <c r="C105" i="13"/>
  <c r="C104" i="13"/>
  <c r="C103" i="13"/>
  <c r="B110" i="13"/>
  <c r="B109" i="13"/>
  <c r="B108" i="13"/>
  <c r="B107" i="13"/>
  <c r="B106" i="13"/>
  <c r="B105" i="13"/>
  <c r="B103" i="13"/>
  <c r="G110" i="13"/>
  <c r="G109" i="13"/>
  <c r="G108" i="13"/>
  <c r="G107" i="13"/>
  <c r="G106" i="13"/>
  <c r="G105" i="13"/>
  <c r="G104" i="13"/>
  <c r="G103" i="13"/>
  <c r="B104" i="13"/>
  <c r="F110" i="13"/>
  <c r="F109" i="13"/>
  <c r="F108" i="13"/>
  <c r="F107" i="13"/>
  <c r="F106" i="13"/>
  <c r="F105" i="13"/>
  <c r="F104" i="13"/>
  <c r="F103" i="13"/>
  <c r="D103" i="13"/>
  <c r="D105" i="13"/>
  <c r="D107" i="13"/>
  <c r="D109" i="13"/>
  <c r="E103" i="13"/>
  <c r="E105" i="13"/>
  <c r="E107" i="13"/>
  <c r="E109" i="13"/>
  <c r="I107" i="13"/>
  <c r="H103" i="13"/>
  <c r="H105" i="13"/>
  <c r="H107" i="13"/>
  <c r="H109" i="13"/>
  <c r="I103" i="13"/>
  <c r="I105" i="13"/>
  <c r="I109" i="13"/>
  <c r="D104" i="13"/>
  <c r="D106" i="13"/>
  <c r="D108" i="13"/>
  <c r="D110" i="13"/>
  <c r="E104" i="13"/>
  <c r="E106" i="13"/>
  <c r="E108" i="13"/>
  <c r="E110" i="13"/>
  <c r="I108" i="13"/>
  <c r="H104" i="13"/>
  <c r="H106" i="13"/>
  <c r="H108" i="13"/>
  <c r="H110" i="13"/>
  <c r="I104" i="13"/>
  <c r="I106" i="13"/>
  <c r="D80" i="13"/>
  <c r="E79" i="13"/>
  <c r="E77" i="13"/>
  <c r="C78" i="13"/>
  <c r="B78" i="13"/>
  <c r="D79" i="13"/>
  <c r="C77" i="13"/>
  <c r="B77" i="13"/>
  <c r="D78" i="13"/>
  <c r="C80" i="13"/>
  <c r="B80" i="13"/>
  <c r="E78" i="13"/>
  <c r="C79" i="13"/>
  <c r="B79" i="13"/>
  <c r="E80" i="13"/>
  <c r="D77" i="13"/>
  <c r="C70" i="13"/>
  <c r="B70" i="13"/>
  <c r="B71" i="13"/>
  <c r="C71" i="13"/>
  <c r="D93" i="13"/>
  <c r="F90" i="13"/>
  <c r="B88" i="13"/>
  <c r="F92" i="13"/>
  <c r="B92" i="13"/>
  <c r="D89" i="13"/>
  <c r="B90" i="13"/>
  <c r="D91" i="13"/>
  <c r="F88" i="13"/>
  <c r="B93" i="13"/>
  <c r="D90" i="13"/>
  <c r="E93" i="13"/>
  <c r="G90" i="13"/>
  <c r="C88" i="13"/>
  <c r="C93" i="13"/>
  <c r="E92" i="13"/>
  <c r="D92" i="13"/>
  <c r="F89" i="13"/>
  <c r="G92" i="13"/>
  <c r="C90" i="13"/>
  <c r="C89" i="13"/>
  <c r="E88" i="13"/>
  <c r="G93" i="13"/>
  <c r="F91" i="13"/>
  <c r="B89" i="13"/>
  <c r="C92" i="13"/>
  <c r="E89" i="13"/>
  <c r="E90" i="13"/>
  <c r="G89" i="13"/>
  <c r="F93" i="13"/>
  <c r="B91" i="13"/>
  <c r="D88" i="13"/>
  <c r="E91" i="13"/>
  <c r="G88" i="13"/>
  <c r="G91" i="13"/>
  <c r="C91" i="13"/>
  <c r="E101" i="13"/>
  <c r="C99" i="13"/>
  <c r="H96" i="13"/>
  <c r="H101" i="13"/>
  <c r="F99" i="13"/>
  <c r="D97" i="13"/>
  <c r="B95" i="13"/>
  <c r="E99" i="13"/>
  <c r="G98" i="13"/>
  <c r="E95" i="13"/>
  <c r="B100" i="13"/>
  <c r="C98" i="13"/>
  <c r="H100" i="13"/>
  <c r="F98" i="13"/>
  <c r="D96" i="13"/>
  <c r="D101" i="13"/>
  <c r="B99" i="13"/>
  <c r="G96" i="13"/>
  <c r="B96" i="13"/>
  <c r="F100" i="13"/>
  <c r="D95" i="13"/>
  <c r="H99" i="13"/>
  <c r="F96" i="13"/>
  <c r="C101" i="13"/>
  <c r="D99" i="13"/>
  <c r="D100" i="13"/>
  <c r="B98" i="13"/>
  <c r="G95" i="13"/>
  <c r="G100" i="13"/>
  <c r="E98" i="13"/>
  <c r="C96" i="13"/>
  <c r="C97" i="13"/>
  <c r="G101" i="13"/>
  <c r="E96" i="13"/>
  <c r="B101" i="13"/>
  <c r="G97" i="13"/>
  <c r="H95" i="13"/>
  <c r="E100" i="13"/>
  <c r="G99" i="13"/>
  <c r="E97" i="13"/>
  <c r="C95" i="13"/>
  <c r="C100" i="13"/>
  <c r="H97" i="13"/>
  <c r="F95" i="13"/>
  <c r="D98" i="13"/>
  <c r="F97" i="13"/>
  <c r="H98" i="13"/>
  <c r="B97" i="13"/>
  <c r="F101" i="13"/>
  <c r="F120" i="13"/>
  <c r="F54" i="13" s="1"/>
  <c r="D113" i="13"/>
  <c r="I116" i="13"/>
  <c r="E120" i="13"/>
  <c r="E54" i="13" s="1"/>
  <c r="E113" i="13"/>
  <c r="J116" i="13"/>
  <c r="J50" i="13" s="1"/>
  <c r="H120" i="13"/>
  <c r="H54" i="13" s="1"/>
  <c r="J118" i="13"/>
  <c r="J52" i="13" s="1"/>
  <c r="C117" i="13"/>
  <c r="E115" i="13"/>
  <c r="G113" i="13"/>
  <c r="G120" i="13"/>
  <c r="G54" i="13" s="1"/>
  <c r="I118" i="13"/>
  <c r="B117" i="13"/>
  <c r="D115" i="13"/>
  <c r="F113" i="13"/>
  <c r="I112" i="13"/>
  <c r="E116" i="13"/>
  <c r="J119" i="13"/>
  <c r="J53" i="13" s="1"/>
  <c r="B112" i="13"/>
  <c r="G115" i="13"/>
  <c r="C119" i="13"/>
  <c r="C114" i="13"/>
  <c r="H117" i="13"/>
  <c r="D114" i="13"/>
  <c r="I117" i="13"/>
  <c r="D120" i="13"/>
  <c r="D54" i="13" s="1"/>
  <c r="F118" i="13"/>
  <c r="H116" i="13"/>
  <c r="J114" i="13"/>
  <c r="J48" i="13" s="1"/>
  <c r="C113" i="13"/>
  <c r="C120" i="13"/>
  <c r="C54" i="13" s="1"/>
  <c r="E118" i="13"/>
  <c r="G116" i="13"/>
  <c r="I114" i="13"/>
  <c r="B113" i="13"/>
  <c r="H113" i="13"/>
  <c r="D117" i="13"/>
  <c r="I120" i="13"/>
  <c r="I54" i="13" s="1"/>
  <c r="J112" i="13"/>
  <c r="J46" i="13" s="1"/>
  <c r="F116" i="13"/>
  <c r="B120" i="13"/>
  <c r="B54" i="13" s="1"/>
  <c r="B115" i="13"/>
  <c r="G118" i="13"/>
  <c r="C115" i="13"/>
  <c r="H118" i="13"/>
  <c r="I119" i="13"/>
  <c r="B118" i="13"/>
  <c r="D116" i="13"/>
  <c r="F114" i="13"/>
  <c r="H112" i="13"/>
  <c r="H119" i="13"/>
  <c r="J117" i="13"/>
  <c r="J51" i="13" s="1"/>
  <c r="C116" i="13"/>
  <c r="E114" i="13"/>
  <c r="G112" i="13"/>
  <c r="G114" i="13"/>
  <c r="C118" i="13"/>
  <c r="I113" i="13"/>
  <c r="E117" i="13"/>
  <c r="J120" i="13"/>
  <c r="J54" i="13" s="1"/>
  <c r="E112" i="13"/>
  <c r="J115" i="13"/>
  <c r="J49" i="13" s="1"/>
  <c r="F119" i="13"/>
  <c r="F112" i="13"/>
  <c r="B116" i="13"/>
  <c r="G119" i="13"/>
  <c r="E119" i="13"/>
  <c r="G117" i="13"/>
  <c r="I115" i="13"/>
  <c r="B114" i="13"/>
  <c r="D112" i="13"/>
  <c r="D119" i="13"/>
  <c r="F117" i="13"/>
  <c r="H115" i="13"/>
  <c r="J113" i="13"/>
  <c r="J47" i="13" s="1"/>
  <c r="C112" i="13"/>
  <c r="F115" i="13"/>
  <c r="B119" i="13"/>
  <c r="H114" i="13"/>
  <c r="D118" i="13"/>
  <c r="E86" i="13"/>
  <c r="C86" i="13"/>
  <c r="C85" i="13"/>
  <c r="B84" i="13"/>
  <c r="B83" i="13"/>
  <c r="B82" i="13"/>
  <c r="F82" i="13"/>
  <c r="F86" i="13"/>
  <c r="E85" i="13"/>
  <c r="E84" i="13"/>
  <c r="E83" i="13"/>
  <c r="D82" i="13"/>
  <c r="B86" i="13"/>
  <c r="F83" i="13"/>
  <c r="D86" i="13"/>
  <c r="D85" i="13"/>
  <c r="D84" i="13"/>
  <c r="C83" i="13"/>
  <c r="C82" i="13"/>
  <c r="F84" i="13"/>
  <c r="D83" i="13"/>
  <c r="C84" i="13"/>
  <c r="B85" i="13"/>
  <c r="E82" i="13"/>
  <c r="F85" i="13"/>
  <c r="C75" i="13"/>
  <c r="C74" i="13"/>
  <c r="D73" i="13"/>
  <c r="B75" i="13"/>
  <c r="C73" i="13"/>
  <c r="D74" i="13"/>
  <c r="B73" i="13"/>
  <c r="D75" i="13"/>
  <c r="B74" i="13"/>
  <c r="B47" i="13" l="1"/>
  <c r="C53" i="13"/>
  <c r="I48" i="13"/>
  <c r="G53" i="13"/>
  <c r="E52" i="13"/>
  <c r="E53" i="13"/>
  <c r="I51" i="13"/>
  <c r="H50" i="13"/>
  <c r="I52" i="13"/>
  <c r="I53" i="13"/>
  <c r="D53" i="13"/>
  <c r="H51" i="13"/>
  <c r="F53" i="13"/>
  <c r="H53" i="13"/>
  <c r="G52" i="13"/>
  <c r="B53" i="13"/>
  <c r="G51" i="13"/>
  <c r="H47" i="13"/>
  <c r="G49" i="13"/>
  <c r="I46" i="13"/>
  <c r="B52" i="13"/>
  <c r="F52" i="13"/>
  <c r="H49" i="13"/>
  <c r="I47" i="13"/>
  <c r="H46" i="13"/>
  <c r="G47" i="13"/>
  <c r="I50" i="13"/>
  <c r="B48" i="13"/>
  <c r="B49" i="13"/>
  <c r="D49" i="13"/>
  <c r="E48" i="13"/>
  <c r="C47" i="13"/>
  <c r="C48" i="13"/>
  <c r="F49" i="13"/>
  <c r="F51" i="13"/>
  <c r="I49" i="13"/>
  <c r="B50" i="13"/>
  <c r="E46" i="13"/>
  <c r="C52" i="13"/>
  <c r="C50" i="13"/>
  <c r="F48" i="13"/>
  <c r="H52" i="13"/>
  <c r="D51" i="13"/>
  <c r="G50" i="13"/>
  <c r="E50" i="13"/>
  <c r="B51" i="13"/>
  <c r="E49" i="13"/>
  <c r="D47" i="13"/>
  <c r="D52" i="13"/>
  <c r="C46" i="13"/>
  <c r="F46" i="13"/>
  <c r="G48" i="13"/>
  <c r="D50" i="13"/>
  <c r="C49" i="13"/>
  <c r="F50" i="13"/>
  <c r="D48" i="13"/>
  <c r="C51" i="13"/>
  <c r="E47" i="13"/>
  <c r="H48" i="13"/>
  <c r="D46" i="13"/>
  <c r="E51" i="13"/>
  <c r="G46" i="13"/>
  <c r="B46" i="13"/>
  <c r="F47" i="13"/>
  <c r="D18" i="13" l="1" a="1"/>
  <c r="B57" i="13" a="1"/>
  <c r="C58" i="13" s="1"/>
  <c r="K58" i="13" s="1"/>
  <c r="D23" i="13" l="1"/>
  <c r="G41" i="12" s="1"/>
  <c r="D18" i="13"/>
  <c r="G36" i="12" s="1"/>
  <c r="D25" i="13"/>
  <c r="D22" i="13"/>
  <c r="G40" i="12" s="1"/>
  <c r="D21" i="13"/>
  <c r="G39" i="12" s="1"/>
  <c r="D20" i="13"/>
  <c r="G38" i="12" s="1"/>
  <c r="D19" i="13"/>
  <c r="G37" i="12" s="1"/>
  <c r="D26" i="13"/>
  <c r="D24" i="13"/>
  <c r="J60" i="13"/>
  <c r="E57" i="13"/>
  <c r="F62" i="13"/>
  <c r="J58" i="13"/>
  <c r="G64" i="13"/>
  <c r="B61" i="13"/>
  <c r="F57" i="13"/>
  <c r="B63" i="13"/>
  <c r="F59" i="13"/>
  <c r="I65" i="13"/>
  <c r="D62" i="13"/>
  <c r="F60" i="13"/>
  <c r="G65" i="13"/>
  <c r="B62" i="13"/>
  <c r="F58" i="13"/>
  <c r="C64" i="13"/>
  <c r="I58" i="13"/>
  <c r="B60" i="13"/>
  <c r="F64" i="13"/>
  <c r="H62" i="13"/>
  <c r="C59" i="13"/>
  <c r="D64" i="13"/>
  <c r="H60" i="13"/>
  <c r="C57" i="13"/>
  <c r="I62" i="13"/>
  <c r="D59" i="13"/>
  <c r="K59" i="13" s="1"/>
  <c r="I64" i="13"/>
  <c r="K64" i="13" s="1"/>
  <c r="D61" i="13"/>
  <c r="H57" i="13"/>
  <c r="B64" i="13"/>
  <c r="H58" i="13"/>
  <c r="I63" i="13"/>
  <c r="D60" i="13"/>
  <c r="J65" i="13"/>
  <c r="K65" i="13" s="1"/>
  <c r="E62" i="13"/>
  <c r="G60" i="13"/>
  <c r="B57" i="13"/>
  <c r="K57" i="13" s="1"/>
  <c r="E64" i="13"/>
  <c r="G62" i="13"/>
  <c r="K62" i="13" s="1"/>
  <c r="I60" i="13"/>
  <c r="B59" i="13"/>
  <c r="D57" i="13"/>
  <c r="E65" i="13"/>
  <c r="G63" i="13"/>
  <c r="I61" i="13"/>
  <c r="D58" i="13"/>
  <c r="C65" i="13"/>
  <c r="E63" i="13"/>
  <c r="G61" i="13"/>
  <c r="I59" i="13"/>
  <c r="B58" i="13"/>
  <c r="F65" i="13"/>
  <c r="H63" i="13"/>
  <c r="K63" i="13" s="1"/>
  <c r="J61" i="13"/>
  <c r="C60" i="13"/>
  <c r="E58" i="13"/>
  <c r="H65" i="13"/>
  <c r="J63" i="13"/>
  <c r="C62" i="13"/>
  <c r="E60" i="13"/>
  <c r="K60" i="13" s="1"/>
  <c r="G58" i="13"/>
  <c r="J64" i="13"/>
  <c r="C63" i="13"/>
  <c r="E61" i="13"/>
  <c r="G59" i="13"/>
  <c r="I57" i="13"/>
  <c r="H64" i="13"/>
  <c r="J62" i="13"/>
  <c r="C61" i="13"/>
  <c r="E59" i="13"/>
  <c r="G57" i="13"/>
  <c r="B65" i="13"/>
  <c r="D63" i="13"/>
  <c r="F61" i="13"/>
  <c r="K61" i="13" s="1"/>
  <c r="H59" i="13"/>
  <c r="J57" i="13"/>
  <c r="D65" i="13"/>
  <c r="F63" i="13"/>
  <c r="H61" i="13"/>
  <c r="J59" i="13"/>
  <c r="S48" i="13" l="1"/>
  <c r="C24" i="13" l="1"/>
  <c r="C23" i="13"/>
  <c r="F41" i="12" s="1"/>
  <c r="C22" i="13"/>
  <c r="F40" i="12" s="1"/>
  <c r="C21" i="13"/>
  <c r="F39" i="12" s="1"/>
  <c r="C20" i="13"/>
  <c r="F38" i="12" s="1"/>
  <c r="C18" i="13"/>
  <c r="F36" i="12" s="1"/>
  <c r="C19" i="13"/>
  <c r="F37" i="12" s="1"/>
  <c r="I30" i="13" l="1"/>
  <c r="I43" i="12"/>
  <c r="G172" i="8"/>
  <c r="D177" i="8" s="1"/>
  <c r="L79" i="4" s="1"/>
  <c r="B148" i="8"/>
  <c r="B149" i="8" s="1"/>
  <c r="B150" i="8" s="1"/>
  <c r="B151" i="8" s="1"/>
  <c r="B152" i="8" s="1"/>
  <c r="J30" i="13" l="1"/>
  <c r="I44" i="12"/>
  <c r="H30" i="13"/>
  <c r="I42" i="12"/>
  <c r="C30" i="13"/>
  <c r="G30" i="13"/>
  <c r="F30" i="13"/>
  <c r="E30" i="13"/>
  <c r="B18" i="13" a="1"/>
  <c r="B22" i="13" s="1"/>
  <c r="E40" i="12" s="1"/>
  <c r="D30" i="13"/>
  <c r="B30" i="13"/>
  <c r="E178" i="8"/>
  <c r="M80" i="4" s="1"/>
  <c r="D185" i="8"/>
  <c r="E177" i="8"/>
  <c r="M79" i="4" s="1"/>
  <c r="E179" i="8"/>
  <c r="M81" i="4" s="1"/>
  <c r="E180" i="8"/>
  <c r="M82" i="4" s="1"/>
  <c r="B153" i="8"/>
  <c r="F22" i="13" l="1"/>
  <c r="Q35" i="13" a="1"/>
  <c r="Q35" i="13" s="1"/>
  <c r="Q34" i="13" a="1"/>
  <c r="Q34" i="13" s="1"/>
  <c r="R34" i="13" s="1"/>
  <c r="Q41" i="13" a="1"/>
  <c r="Q41" i="13" s="1"/>
  <c r="B25" i="13"/>
  <c r="B19" i="13"/>
  <c r="E37" i="12" s="1"/>
  <c r="B23" i="13"/>
  <c r="E41" i="12" s="1"/>
  <c r="B26" i="13"/>
  <c r="B18" i="13"/>
  <c r="E36" i="12" s="1"/>
  <c r="B21" i="13"/>
  <c r="E39" i="12" s="1"/>
  <c r="B20" i="13"/>
  <c r="E38" i="12" s="1"/>
  <c r="B24" i="13"/>
  <c r="Q36" i="13" a="1"/>
  <c r="Q36" i="13" s="1"/>
  <c r="Q42" i="13" a="1"/>
  <c r="Q42" i="13" s="1"/>
  <c r="Q37" i="13" a="1"/>
  <c r="Q37" i="13" s="1"/>
  <c r="Q43" i="13" a="1"/>
  <c r="Q43" i="13" s="1"/>
  <c r="R43" i="13" s="1"/>
  <c r="Q39" i="13" a="1"/>
  <c r="Q39" i="13" s="1"/>
  <c r="Q38" i="13" a="1"/>
  <c r="Q38" i="13" s="1"/>
  <c r="Q40" i="13" a="1"/>
  <c r="Q40" i="13" s="1"/>
  <c r="E181" i="8"/>
  <c r="M83" i="4" s="1"/>
  <c r="B154" i="8"/>
  <c r="F18" i="13" l="1"/>
  <c r="F26" i="13"/>
  <c r="R38" i="13"/>
  <c r="R42" i="13"/>
  <c r="R36" i="13"/>
  <c r="F25" i="13"/>
  <c r="F24" i="13"/>
  <c r="R41" i="13"/>
  <c r="F21" i="13"/>
  <c r="F19" i="13"/>
  <c r="R39" i="13"/>
  <c r="R35" i="13"/>
  <c r="R40" i="13"/>
  <c r="R37" i="13"/>
  <c r="F20" i="13"/>
  <c r="F23" i="13"/>
  <c r="E183" i="8"/>
  <c r="M85" i="4" s="1"/>
  <c r="E182" i="8"/>
  <c r="M84" i="4" s="1"/>
  <c r="B155" i="8"/>
  <c r="R44" i="13" l="1"/>
  <c r="A18" i="13"/>
  <c r="B156" i="8"/>
  <c r="B16" i="13" l="1"/>
  <c r="G34" i="12" s="1"/>
  <c r="E184" i="8"/>
  <c r="B157" i="8"/>
  <c r="E185" i="8" l="1"/>
  <c r="B158" i="8"/>
  <c r="E186" i="8" l="1"/>
  <c r="B159" i="8"/>
  <c r="E187" i="8" l="1"/>
  <c r="B160" i="8"/>
  <c r="I1" i="8"/>
  <c r="E152" i="8" l="1"/>
  <c r="E188" i="8"/>
  <c r="B161" i="8"/>
  <c r="L112" i="8"/>
  <c r="K111" i="8"/>
  <c r="J110" i="8"/>
  <c r="I109" i="8"/>
  <c r="H108" i="8"/>
  <c r="G107" i="8"/>
  <c r="F106" i="8"/>
  <c r="E105" i="8"/>
  <c r="D104" i="8"/>
  <c r="C103" i="8"/>
  <c r="C57" i="8"/>
  <c r="L66" i="8"/>
  <c r="K65" i="8"/>
  <c r="J64" i="8"/>
  <c r="I63" i="8"/>
  <c r="H62" i="8"/>
  <c r="G61" i="8"/>
  <c r="F60" i="8"/>
  <c r="E59" i="8"/>
  <c r="D58" i="8"/>
  <c r="A5" i="9"/>
  <c r="B4" i="9"/>
  <c r="K4" i="9"/>
  <c r="J4" i="9"/>
  <c r="I4" i="9"/>
  <c r="H4" i="9"/>
  <c r="G4" i="9"/>
  <c r="F4" i="9"/>
  <c r="E4" i="9"/>
  <c r="D4" i="9"/>
  <c r="C4" i="9"/>
  <c r="A14" i="9"/>
  <c r="A13" i="9"/>
  <c r="A12" i="9"/>
  <c r="A11" i="9"/>
  <c r="A10" i="9"/>
  <c r="A9" i="9"/>
  <c r="A8" i="9"/>
  <c r="A7" i="9"/>
  <c r="A6" i="9"/>
  <c r="B8" i="9"/>
  <c r="B7"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K7" i="9"/>
  <c r="J7" i="9"/>
  <c r="I7" i="9"/>
  <c r="H7" i="9"/>
  <c r="G7" i="9"/>
  <c r="F7" i="9"/>
  <c r="E7" i="9"/>
  <c r="D7" i="9"/>
  <c r="C7" i="9"/>
  <c r="K6" i="9"/>
  <c r="J6" i="9"/>
  <c r="I6" i="9"/>
  <c r="H6" i="9"/>
  <c r="G6" i="9"/>
  <c r="F6" i="9"/>
  <c r="E6" i="9"/>
  <c r="D6" i="9"/>
  <c r="C6" i="9"/>
  <c r="B6" i="9"/>
  <c r="N14" i="8"/>
  <c r="D12" i="8"/>
  <c r="N12" i="8"/>
  <c r="D11" i="8"/>
  <c r="B11" i="8"/>
  <c r="N11" i="8" s="1"/>
  <c r="D10" i="8"/>
  <c r="B10" i="8"/>
  <c r="G10" i="8" s="1"/>
  <c r="D9" i="8"/>
  <c r="B9" i="8"/>
  <c r="N9" i="8" s="1"/>
  <c r="D8" i="8"/>
  <c r="B8" i="8"/>
  <c r="G8" i="8" s="1"/>
  <c r="D7" i="8"/>
  <c r="B7" i="8"/>
  <c r="G7" i="8" s="1"/>
  <c r="D6" i="8"/>
  <c r="B6" i="8"/>
  <c r="N6" i="8" s="1"/>
  <c r="D5" i="8"/>
  <c r="B5" i="8"/>
  <c r="AO6" i="4"/>
  <c r="AN6" i="4"/>
  <c r="AM6" i="4"/>
  <c r="AL6" i="4"/>
  <c r="AK6" i="4"/>
  <c r="AJ6" i="4"/>
  <c r="AF17" i="4"/>
  <c r="AF16" i="4"/>
  <c r="AF15" i="4"/>
  <c r="AF14" i="4"/>
  <c r="AO17" i="4"/>
  <c r="AN17" i="4"/>
  <c r="AM17" i="4"/>
  <c r="AL17" i="4"/>
  <c r="AK17" i="4"/>
  <c r="AJ17" i="4"/>
  <c r="AI17" i="4"/>
  <c r="AH17" i="4"/>
  <c r="AO16" i="4"/>
  <c r="AN16" i="4"/>
  <c r="AM16" i="4"/>
  <c r="AL16" i="4"/>
  <c r="AK16" i="4"/>
  <c r="AJ16" i="4"/>
  <c r="AI16" i="4"/>
  <c r="AH16" i="4"/>
  <c r="AG16" i="4"/>
  <c r="AO15" i="4"/>
  <c r="AN15" i="4"/>
  <c r="AM15" i="4"/>
  <c r="AL15" i="4"/>
  <c r="AK15" i="4"/>
  <c r="AJ15" i="4"/>
  <c r="AI15" i="4"/>
  <c r="AH15" i="4"/>
  <c r="AG15" i="4"/>
  <c r="AO14" i="4"/>
  <c r="AN14" i="4"/>
  <c r="AM14" i="4"/>
  <c r="AL14" i="4"/>
  <c r="AK14" i="4"/>
  <c r="AJ14" i="4"/>
  <c r="AI14" i="4"/>
  <c r="AH14" i="4"/>
  <c r="AG14" i="4"/>
  <c r="D2" i="8" l="1"/>
  <c r="N5" i="8"/>
  <c r="D54" i="8" s="1" a="1"/>
  <c r="B3" i="8"/>
  <c r="AQ8" i="4" a="1"/>
  <c r="AQ8" i="4" s="1"/>
  <c r="E148" i="8"/>
  <c r="E155" i="8"/>
  <c r="E149" i="8"/>
  <c r="E151" i="8"/>
  <c r="E154" i="8"/>
  <c r="E153" i="8"/>
  <c r="E150" i="8"/>
  <c r="E157" i="8"/>
  <c r="E158" i="8"/>
  <c r="E156" i="8"/>
  <c r="O129" i="8"/>
  <c r="N129" i="8"/>
  <c r="O83" i="8"/>
  <c r="N83" i="8"/>
  <c r="M83" i="8"/>
  <c r="L83" i="8"/>
  <c r="W99" i="8" a="1"/>
  <c r="W99" i="8" s="1"/>
  <c r="V99" i="8" a="1"/>
  <c r="V99" i="8" s="1"/>
  <c r="AQ9" i="4" a="1"/>
  <c r="AQ9" i="4" s="1"/>
  <c r="D98" i="8" a="1"/>
  <c r="U101" i="8" a="1"/>
  <c r="U101" i="8" s="1"/>
  <c r="U99" i="8" a="1"/>
  <c r="U99" i="8" s="1"/>
  <c r="X24" i="4"/>
  <c r="W24" i="4"/>
  <c r="O17" i="4"/>
  <c r="P17" i="4" s="1"/>
  <c r="O15" i="4"/>
  <c r="P15" i="4" s="1"/>
  <c r="O14" i="4"/>
  <c r="O16" i="4"/>
  <c r="P16" i="4" s="1"/>
  <c r="E159" i="8"/>
  <c r="E189" i="8"/>
  <c r="B162" i="8"/>
  <c r="AH101" i="8" a="1"/>
  <c r="AH101" i="8" s="1"/>
  <c r="AF101" i="8" a="1"/>
  <c r="AF101" i="8" s="1"/>
  <c r="AD99" i="8" a="1"/>
  <c r="AD99" i="8" s="1"/>
  <c r="R100" i="8" a="1"/>
  <c r="P98" i="8" a="1"/>
  <c r="N98" i="8" a="1"/>
  <c r="L98" i="8" a="1"/>
  <c r="D100" i="8" a="1"/>
  <c r="AI101" i="8" a="1"/>
  <c r="AI101" i="8" s="1"/>
  <c r="AG101" i="8" a="1"/>
  <c r="AG101" i="8" s="1"/>
  <c r="AE99" i="8" a="1"/>
  <c r="AE99" i="8" s="1"/>
  <c r="AC101" i="8" a="1"/>
  <c r="AC101" i="8" s="1"/>
  <c r="Q100" i="8" a="1"/>
  <c r="O98" i="8" a="1"/>
  <c r="M100" i="8" a="1"/>
  <c r="AI99" i="8" a="1"/>
  <c r="AI99" i="8" s="1"/>
  <c r="AG99" i="8" a="1"/>
  <c r="AG99" i="8" s="1"/>
  <c r="AE101" i="8" a="1"/>
  <c r="AE101" i="8" s="1"/>
  <c r="AC99" i="8" a="1"/>
  <c r="AC99" i="8" s="1"/>
  <c r="Q98" i="8" a="1"/>
  <c r="O100" i="8" a="1"/>
  <c r="M98" i="8" a="1"/>
  <c r="E100" i="8" a="1"/>
  <c r="AH99" i="8" a="1"/>
  <c r="AH99" i="8" s="1"/>
  <c r="AF99" i="8" a="1"/>
  <c r="AF99" i="8" s="1"/>
  <c r="AD101" i="8" a="1"/>
  <c r="AD101" i="8" s="1"/>
  <c r="R98" i="8" a="1"/>
  <c r="P100" i="8" a="1"/>
  <c r="N100" i="8" a="1"/>
  <c r="L100" i="8" a="1"/>
  <c r="F100" i="8" a="1"/>
  <c r="W101" i="8" a="1"/>
  <c r="W101" i="8" s="1"/>
  <c r="F5" i="9"/>
  <c r="F21" i="9" s="1"/>
  <c r="U24" i="4"/>
  <c r="J5" i="9"/>
  <c r="J21" i="9" s="1"/>
  <c r="Y24" i="4"/>
  <c r="G5" i="9"/>
  <c r="G21" i="9" s="1"/>
  <c r="V24" i="4"/>
  <c r="K5" i="9"/>
  <c r="K21" i="9" s="1"/>
  <c r="Z24" i="4"/>
  <c r="C5" i="9"/>
  <c r="C21" i="9" s="1"/>
  <c r="R24" i="4"/>
  <c r="D5" i="9"/>
  <c r="D21" i="9" s="1"/>
  <c r="S24" i="4"/>
  <c r="Q24" i="4"/>
  <c r="P24" i="4" s="1"/>
  <c r="AQ19" i="4" a="1"/>
  <c r="AQ19" i="4" s="1"/>
  <c r="AQ23" i="4" a="1"/>
  <c r="AQ23" i="4" s="1"/>
  <c r="E47" i="4" s="1"/>
  <c r="F47" i="4" s="1"/>
  <c r="AQ22" i="4" a="1"/>
  <c r="AQ22" i="4" s="1"/>
  <c r="AQ18" i="4" a="1"/>
  <c r="AQ18" i="4" s="1"/>
  <c r="AQ21" i="4" a="1"/>
  <c r="AQ21" i="4" s="1"/>
  <c r="AQ20" i="4" a="1"/>
  <c r="AQ20" i="4" s="1"/>
  <c r="E5" i="9"/>
  <c r="E21" i="9" s="1"/>
  <c r="T24" i="4"/>
  <c r="AQ12" i="4" a="1"/>
  <c r="AQ12" i="4" s="1"/>
  <c r="AQ10" i="4" a="1"/>
  <c r="AQ10" i="4" s="1"/>
  <c r="AQ11" i="4" a="1"/>
  <c r="AQ11" i="4" s="1"/>
  <c r="B5" i="9"/>
  <c r="B21" i="9" s="1"/>
  <c r="AA101" i="8" a="1"/>
  <c r="AA101" i="8" s="1"/>
  <c r="AB101" i="8" a="1"/>
  <c r="AB101" i="8" s="1"/>
  <c r="Z101" i="8" a="1"/>
  <c r="Z101" i="8" s="1"/>
  <c r="N8" i="8"/>
  <c r="H5" i="9"/>
  <c r="H21" i="9" s="1"/>
  <c r="X101" i="8" a="1"/>
  <c r="X101" i="8" s="1"/>
  <c r="V101" i="8" a="1"/>
  <c r="V101" i="8" s="1"/>
  <c r="Y101" i="8" a="1"/>
  <c r="Y101" i="8" s="1"/>
  <c r="G11" i="8"/>
  <c r="K100" i="8" a="1"/>
  <c r="K100" i="8" s="1"/>
  <c r="N13" i="8"/>
  <c r="G9" i="8"/>
  <c r="H100" i="8" a="1"/>
  <c r="H100" i="8" s="1"/>
  <c r="N10" i="8"/>
  <c r="J100" i="8" a="1"/>
  <c r="N7" i="8"/>
  <c r="G100" i="8" a="1"/>
  <c r="I100" i="8" a="1"/>
  <c r="G12" i="8"/>
  <c r="L14" i="9"/>
  <c r="I5" i="9"/>
  <c r="I21" i="9" s="1"/>
  <c r="AQ17" i="4" a="1"/>
  <c r="AQ17" i="4" s="1"/>
  <c r="AQ16" i="4" a="1"/>
  <c r="AQ16" i="4" s="1"/>
  <c r="G6" i="8"/>
  <c r="Q50" i="8" s="1" a="1"/>
  <c r="G5" i="8"/>
  <c r="L12" i="9"/>
  <c r="L13" i="9"/>
  <c r="L11" i="9"/>
  <c r="AQ13" i="4" a="1"/>
  <c r="AQ13" i="4" s="1"/>
  <c r="AQ15" i="4" a="1"/>
  <c r="AQ15" i="4" s="1"/>
  <c r="AQ14" i="4" a="1"/>
  <c r="AQ14" i="4" s="1"/>
  <c r="L8" i="9"/>
  <c r="L6" i="9"/>
  <c r="L9" i="9"/>
  <c r="L10" i="9"/>
  <c r="L7" i="9"/>
  <c r="L47" i="4" l="1"/>
  <c r="N31" i="4"/>
  <c r="C29" i="4"/>
  <c r="C76" i="4"/>
  <c r="U55" i="8" a="1"/>
  <c r="U55" i="8" s="1"/>
  <c r="E54" i="8" a="1"/>
  <c r="E55" i="8" s="1"/>
  <c r="P14" i="4"/>
  <c r="K44" i="4"/>
  <c r="K40" i="4"/>
  <c r="K36" i="4"/>
  <c r="K32" i="4"/>
  <c r="K33" i="4"/>
  <c r="K46" i="4"/>
  <c r="K38" i="4"/>
  <c r="K47" i="4"/>
  <c r="K39" i="4"/>
  <c r="K35" i="4"/>
  <c r="M47" i="4"/>
  <c r="K45" i="4"/>
  <c r="K41" i="4"/>
  <c r="K37" i="4"/>
  <c r="K42" i="4"/>
  <c r="K34" i="4"/>
  <c r="N53" i="4"/>
  <c r="K43" i="4"/>
  <c r="C32" i="9"/>
  <c r="AA14" i="4"/>
  <c r="D98" i="8"/>
  <c r="D99" i="8"/>
  <c r="E32" i="4"/>
  <c r="E33" i="4"/>
  <c r="F33" i="4" s="1"/>
  <c r="K50" i="8" a="1"/>
  <c r="K50" i="8" s="1"/>
  <c r="P50" i="8" a="1"/>
  <c r="P51" i="8" s="1"/>
  <c r="Q50" i="8"/>
  <c r="Q51" i="8"/>
  <c r="N50" i="8" a="1"/>
  <c r="O50" i="8" a="1"/>
  <c r="P54" i="8" a="1"/>
  <c r="P54" i="8" s="1"/>
  <c r="L50" i="8" a="1"/>
  <c r="M50" i="8" a="1"/>
  <c r="R50" i="8" a="1"/>
  <c r="AI51" i="8" a="1"/>
  <c r="AI51" i="8" s="1"/>
  <c r="R54" i="8" a="1"/>
  <c r="R55" i="8" s="1"/>
  <c r="AI55" i="8" a="1"/>
  <c r="AI55" i="8" s="1"/>
  <c r="E42" i="4"/>
  <c r="F42" i="4" s="1"/>
  <c r="E40" i="4"/>
  <c r="F40" i="4" s="1"/>
  <c r="E46" i="4"/>
  <c r="F46" i="4" s="1"/>
  <c r="E41" i="4"/>
  <c r="F41" i="4" s="1"/>
  <c r="E44" i="4"/>
  <c r="F44" i="4" s="1"/>
  <c r="E45" i="4"/>
  <c r="F45" i="4" s="1"/>
  <c r="E43" i="4"/>
  <c r="F43" i="4" s="1"/>
  <c r="AH51" i="8" a="1"/>
  <c r="AH51" i="8" s="1"/>
  <c r="AG51" i="8" a="1"/>
  <c r="AG51" i="8" s="1"/>
  <c r="Q54" i="8" a="1"/>
  <c r="Q55" i="8" s="1"/>
  <c r="AG55" i="8" a="1"/>
  <c r="AG55" i="8" s="1"/>
  <c r="AH55" i="8" a="1"/>
  <c r="AH55" i="8" s="1"/>
  <c r="B24" i="9" a="1"/>
  <c r="B24" i="9" s="1"/>
  <c r="AA16" i="4"/>
  <c r="E39" i="4"/>
  <c r="F39" i="4" s="1"/>
  <c r="E38" i="4"/>
  <c r="F38" i="4" s="1"/>
  <c r="P7" i="4"/>
  <c r="E36" i="4"/>
  <c r="F36" i="4" s="1"/>
  <c r="E37" i="4"/>
  <c r="F37" i="4" s="1"/>
  <c r="E35" i="4"/>
  <c r="F35" i="4" s="1"/>
  <c r="E34" i="4"/>
  <c r="F34" i="4" s="1"/>
  <c r="AA15" i="4"/>
  <c r="AC55" i="8" a="1"/>
  <c r="AC55" i="8" s="1"/>
  <c r="AF51" i="8" a="1"/>
  <c r="AF51" i="8" s="1"/>
  <c r="M54" i="8" a="1"/>
  <c r="M54" i="8" s="1"/>
  <c r="AD51" i="8" a="1"/>
  <c r="AD51" i="8" s="1"/>
  <c r="AD55" i="8" a="1"/>
  <c r="AD55" i="8" s="1"/>
  <c r="AA17" i="4"/>
  <c r="AC51" i="8" a="1"/>
  <c r="AC51" i="8" s="1"/>
  <c r="O54" i="8" a="1"/>
  <c r="O55" i="8" s="1"/>
  <c r="L54" i="8" a="1"/>
  <c r="L54" i="8" s="1"/>
  <c r="AE55" i="8" a="1"/>
  <c r="AE55" i="8" s="1"/>
  <c r="AE51" i="8" a="1"/>
  <c r="AE51" i="8" s="1"/>
  <c r="N54" i="8" a="1"/>
  <c r="N54" i="8" s="1"/>
  <c r="AF55" i="8" a="1"/>
  <c r="AF55" i="8" s="1"/>
  <c r="B193" i="8"/>
  <c r="E191" i="8" s="1"/>
  <c r="E190" i="8"/>
  <c r="E160" i="8"/>
  <c r="A20" i="8"/>
  <c r="B163" i="8"/>
  <c r="P100" i="8"/>
  <c r="P101" i="8"/>
  <c r="O101" i="8"/>
  <c r="O100" i="8"/>
  <c r="Q100" i="8"/>
  <c r="Q101" i="8"/>
  <c r="P98" i="8"/>
  <c r="P99" i="8"/>
  <c r="R98" i="8"/>
  <c r="R99" i="8"/>
  <c r="Q98" i="8"/>
  <c r="Q99" i="8"/>
  <c r="D100" i="8"/>
  <c r="D101" i="8"/>
  <c r="R101" i="8"/>
  <c r="R100" i="8"/>
  <c r="L100" i="8"/>
  <c r="L101" i="8"/>
  <c r="E100" i="8"/>
  <c r="E101" i="8"/>
  <c r="M100" i="8"/>
  <c r="M101" i="8"/>
  <c r="L98" i="8"/>
  <c r="L99" i="8"/>
  <c r="N100" i="8"/>
  <c r="N101" i="8"/>
  <c r="M98" i="8"/>
  <c r="M99" i="8"/>
  <c r="O98" i="8"/>
  <c r="O99" i="8"/>
  <c r="N98" i="8"/>
  <c r="N99" i="8"/>
  <c r="F50" i="8" a="1"/>
  <c r="F51" i="8" s="1"/>
  <c r="W51" i="8" a="1"/>
  <c r="W51" i="8" s="1"/>
  <c r="W55" i="8" a="1"/>
  <c r="W55" i="8" s="1"/>
  <c r="F54" i="8" a="1"/>
  <c r="F100" i="8"/>
  <c r="F101" i="8"/>
  <c r="AA12" i="4"/>
  <c r="AA11" i="4"/>
  <c r="AA10" i="4"/>
  <c r="AA8" i="4"/>
  <c r="AB51" i="8" a="1"/>
  <c r="AB51" i="8" s="1"/>
  <c r="J50" i="8" a="1"/>
  <c r="J51" i="8" s="1"/>
  <c r="K54" i="8" a="1"/>
  <c r="K54" i="8" s="1"/>
  <c r="AB55" i="8" a="1"/>
  <c r="AB55" i="8" s="1"/>
  <c r="Z51" i="8" a="1"/>
  <c r="Z51" i="8" s="1"/>
  <c r="J54" i="8" a="1"/>
  <c r="J55" i="8" s="1"/>
  <c r="AA51" i="8" a="1"/>
  <c r="AA51" i="8" s="1"/>
  <c r="AA55" i="8" a="1"/>
  <c r="AA55" i="8" s="1"/>
  <c r="I54" i="8" a="1"/>
  <c r="I55" i="8" s="1"/>
  <c r="I50" i="8" a="1"/>
  <c r="I50" i="8" s="1"/>
  <c r="Z55" i="8" a="1"/>
  <c r="Z55" i="8" s="1"/>
  <c r="L5" i="9"/>
  <c r="C31" i="9" s="1"/>
  <c r="D31" i="9" s="1"/>
  <c r="K101" i="8"/>
  <c r="V51" i="8" a="1"/>
  <c r="V51" i="8" s="1"/>
  <c r="Y55" i="8" a="1"/>
  <c r="Y55" i="8" s="1"/>
  <c r="V55" i="8" a="1"/>
  <c r="V55" i="8" s="1"/>
  <c r="X55" i="8" a="1"/>
  <c r="X55" i="8" s="1"/>
  <c r="H101" i="8"/>
  <c r="Y51" i="8" a="1"/>
  <c r="Y51" i="8" s="1"/>
  <c r="D50" i="8" a="1"/>
  <c r="X51" i="8" a="1"/>
  <c r="X51" i="8" s="1"/>
  <c r="U51" i="8" a="1"/>
  <c r="U51" i="8" s="1"/>
  <c r="G54" i="8" a="1"/>
  <c r="G55" i="8" s="1"/>
  <c r="H54" i="8" a="1"/>
  <c r="H54" i="8" s="1"/>
  <c r="H50" i="8" a="1"/>
  <c r="H50" i="8" s="1"/>
  <c r="G100" i="8"/>
  <c r="G101" i="8"/>
  <c r="G50" i="8" a="1"/>
  <c r="G51" i="8" s="1"/>
  <c r="I100" i="8"/>
  <c r="I101" i="8"/>
  <c r="J100" i="8"/>
  <c r="J101" i="8"/>
  <c r="E50" i="8" a="1"/>
  <c r="E51" i="8" s="1"/>
  <c r="AA9" i="4"/>
  <c r="D55" i="8"/>
  <c r="D54" i="8"/>
  <c r="E54" i="8" l="1"/>
  <c r="L43" i="4"/>
  <c r="M38" i="4"/>
  <c r="M35" i="4"/>
  <c r="L46" i="4"/>
  <c r="M44" i="4"/>
  <c r="M33" i="4"/>
  <c r="M36" i="4"/>
  <c r="L42" i="4"/>
  <c r="M41" i="4"/>
  <c r="M34" i="4"/>
  <c r="L45" i="4"/>
  <c r="L40" i="4"/>
  <c r="M32" i="4"/>
  <c r="M45" i="4"/>
  <c r="L39" i="4"/>
  <c r="M43" i="4"/>
  <c r="L44" i="4"/>
  <c r="L41" i="4"/>
  <c r="M46" i="4"/>
  <c r="M37" i="4"/>
  <c r="M39" i="4"/>
  <c r="M40" i="4"/>
  <c r="M42" i="4"/>
  <c r="F32" i="4"/>
  <c r="P50" i="8"/>
  <c r="A148" i="8"/>
  <c r="A149" i="8" s="1"/>
  <c r="A150" i="8" s="1"/>
  <c r="A151" i="8" s="1"/>
  <c r="P55" i="8"/>
  <c r="K51" i="8"/>
  <c r="R50" i="8"/>
  <c r="R51" i="8"/>
  <c r="L50" i="8"/>
  <c r="L51" i="8"/>
  <c r="O50" i="8"/>
  <c r="O51" i="8"/>
  <c r="M50" i="8"/>
  <c r="M51" i="8"/>
  <c r="N50" i="8"/>
  <c r="N51" i="8"/>
  <c r="R54" i="8"/>
  <c r="A13" i="8"/>
  <c r="A18" i="8"/>
  <c r="F18" i="8" s="1"/>
  <c r="A15" i="8"/>
  <c r="F15" i="8" s="1"/>
  <c r="A17" i="8"/>
  <c r="F17" i="8" s="1"/>
  <c r="A19" i="8"/>
  <c r="F19" i="8" s="1"/>
  <c r="A16" i="8"/>
  <c r="M16" i="8" s="1"/>
  <c r="Q54" i="8"/>
  <c r="B23" i="9" a="1"/>
  <c r="B23" i="9" s="1"/>
  <c r="B28" i="9" s="1" a="1"/>
  <c r="B28" i="9" s="1"/>
  <c r="B26" i="9" a="1"/>
  <c r="M55" i="8"/>
  <c r="L21" i="9"/>
  <c r="O54" i="8"/>
  <c r="B27" i="9" a="1"/>
  <c r="B27" i="9" s="1"/>
  <c r="L55" i="8"/>
  <c r="N55" i="8"/>
  <c r="F20" i="8"/>
  <c r="M20" i="8"/>
  <c r="A14" i="8"/>
  <c r="F14" i="8" s="1"/>
  <c r="A12" i="8"/>
  <c r="M12" i="8" s="1"/>
  <c r="E161" i="8"/>
  <c r="B194" i="8"/>
  <c r="E193" i="8" s="1"/>
  <c r="B164" i="8"/>
  <c r="F50" i="8"/>
  <c r="F55" i="8"/>
  <c r="F54" i="8"/>
  <c r="J50" i="8"/>
  <c r="K55" i="8"/>
  <c r="J54" i="8"/>
  <c r="I51" i="8"/>
  <c r="I54" i="8"/>
  <c r="A5" i="8"/>
  <c r="A11" i="8"/>
  <c r="M11" i="8" s="1"/>
  <c r="G50" i="8"/>
  <c r="A6" i="8"/>
  <c r="F6" i="8" s="1"/>
  <c r="A8" i="8"/>
  <c r="F8" i="8" s="1"/>
  <c r="A7" i="8"/>
  <c r="M7" i="8" s="1"/>
  <c r="A10" i="8"/>
  <c r="F10" i="8" s="1"/>
  <c r="A9" i="8"/>
  <c r="F9" i="8" s="1"/>
  <c r="H55" i="8"/>
  <c r="H51" i="8"/>
  <c r="G54" i="8"/>
  <c r="D50" i="8"/>
  <c r="D51" i="8"/>
  <c r="E50" i="8"/>
  <c r="F13" i="8" l="1"/>
  <c r="B2" i="8"/>
  <c r="J49" i="4" s="1"/>
  <c r="M13" i="8"/>
  <c r="M18" i="8"/>
  <c r="F16" i="8"/>
  <c r="M15" i="8"/>
  <c r="M17" i="8"/>
  <c r="M19" i="8"/>
  <c r="B26" i="9"/>
  <c r="S5" i="4" s="1"/>
  <c r="E192" i="8"/>
  <c r="E194" i="8"/>
  <c r="E162" i="8"/>
  <c r="D180" i="8"/>
  <c r="L82" i="4" s="1"/>
  <c r="D148" i="8"/>
  <c r="L32" i="4" s="1"/>
  <c r="A152" i="8"/>
  <c r="D150" i="8" s="1"/>
  <c r="L34" i="4" s="1"/>
  <c r="B165" i="8"/>
  <c r="E163" i="8" s="1"/>
  <c r="M5" i="8"/>
  <c r="D122" i="8"/>
  <c r="E98" i="8" a="1"/>
  <c r="F98" i="8" a="1"/>
  <c r="D149" i="8"/>
  <c r="L33" i="4" s="1"/>
  <c r="J98" i="8" a="1"/>
  <c r="AA99" i="8" a="1"/>
  <c r="AA99" i="8" s="1"/>
  <c r="AB99" i="8" a="1"/>
  <c r="AB99" i="8" s="1"/>
  <c r="K98" i="8" a="1"/>
  <c r="I98" i="8" a="1"/>
  <c r="Z99" i="8" a="1"/>
  <c r="Z99" i="8" s="1"/>
  <c r="G98" i="8" a="1"/>
  <c r="G98" i="8" s="1"/>
  <c r="Y99" i="8" a="1"/>
  <c r="Y99" i="8" s="1"/>
  <c r="H98" i="8" a="1"/>
  <c r="H98" i="8" s="1"/>
  <c r="D178" i="8"/>
  <c r="L80" i="4" s="1"/>
  <c r="D179" i="8"/>
  <c r="L81" i="4" s="1"/>
  <c r="X99" i="8" a="1"/>
  <c r="X99" i="8" s="1"/>
  <c r="F5" i="8"/>
  <c r="U49" i="8" s="1" a="1"/>
  <c r="U49" i="8" s="1"/>
  <c r="F11" i="8"/>
  <c r="F12" i="8"/>
  <c r="M14" i="8"/>
  <c r="M9" i="8"/>
  <c r="F7" i="8"/>
  <c r="M6" i="8"/>
  <c r="M8" i="8"/>
  <c r="M10" i="8"/>
  <c r="S6" i="4" l="1"/>
  <c r="O48" i="8" a="1"/>
  <c r="R48" i="8" a="1"/>
  <c r="L48" i="8" a="1"/>
  <c r="M48" i="8" a="1"/>
  <c r="P48" i="8" a="1"/>
  <c r="K48" i="8" a="1"/>
  <c r="N48" i="8" a="1"/>
  <c r="Q48" i="8" a="1"/>
  <c r="F30" i="8"/>
  <c r="L52" i="8" a="1"/>
  <c r="L53" i="8" s="1"/>
  <c r="A153" i="8"/>
  <c r="D151" i="8" s="1"/>
  <c r="L35" i="4" s="1"/>
  <c r="B29" i="9"/>
  <c r="R6" i="4" s="1"/>
  <c r="F136" i="8"/>
  <c r="F130" i="8"/>
  <c r="C135" i="8"/>
  <c r="F129" i="8"/>
  <c r="E131" i="8"/>
  <c r="C134" i="8"/>
  <c r="F135" i="8"/>
  <c r="F134" i="8"/>
  <c r="D133" i="8"/>
  <c r="D132" i="8"/>
  <c r="D131" i="8"/>
  <c r="E130" i="8"/>
  <c r="D135" i="8"/>
  <c r="F131" i="8"/>
  <c r="D134" i="8"/>
  <c r="E133" i="8"/>
  <c r="E136" i="8"/>
  <c r="E135" i="8"/>
  <c r="E134" i="8"/>
  <c r="C133" i="8"/>
  <c r="C132" i="8"/>
  <c r="C131" i="8"/>
  <c r="D130" i="8"/>
  <c r="D136" i="8"/>
  <c r="F133" i="8"/>
  <c r="F132" i="8"/>
  <c r="C136" i="8"/>
  <c r="E132" i="8"/>
  <c r="C130" i="8"/>
  <c r="AF49" i="8" a="1"/>
  <c r="AF49" i="8" s="1"/>
  <c r="AB49" i="8" a="1"/>
  <c r="AB49" i="8" s="1"/>
  <c r="AG49" i="8" a="1"/>
  <c r="AG49" i="8" s="1"/>
  <c r="AC49" i="8" a="1"/>
  <c r="AC49" i="8" s="1"/>
  <c r="AD49" i="8"/>
  <c r="J86" i="8"/>
  <c r="I88" i="8"/>
  <c r="F85" i="8"/>
  <c r="J85" i="8"/>
  <c r="I89" i="8"/>
  <c r="H88" i="8"/>
  <c r="F86" i="8"/>
  <c r="E85" i="8"/>
  <c r="F88" i="8"/>
  <c r="E87" i="8"/>
  <c r="F90" i="8"/>
  <c r="E89" i="8"/>
  <c r="I87" i="8"/>
  <c r="I90" i="8"/>
  <c r="G88" i="8"/>
  <c r="F87" i="8"/>
  <c r="E86" i="8"/>
  <c r="J90" i="8"/>
  <c r="F89" i="8"/>
  <c r="E88" i="8"/>
  <c r="J89" i="8"/>
  <c r="D88" i="8"/>
  <c r="I85" i="8"/>
  <c r="J87" i="8"/>
  <c r="J88" i="8"/>
  <c r="E90" i="8"/>
  <c r="C88" i="8"/>
  <c r="I86" i="8"/>
  <c r="AI53" i="8" a="1"/>
  <c r="AI53" i="8" s="1"/>
  <c r="O52" i="8" a="1"/>
  <c r="AF53" i="8" a="1"/>
  <c r="AF53" i="8" s="1"/>
  <c r="AG53" i="8" a="1"/>
  <c r="AG53" i="8" s="1"/>
  <c r="N52" i="8" a="1"/>
  <c r="M52" i="8" a="1"/>
  <c r="AE53" i="8" a="1"/>
  <c r="AE53" i="8" s="1"/>
  <c r="P52" i="8" a="1"/>
  <c r="R52" i="8" a="1"/>
  <c r="AD53" i="8" a="1"/>
  <c r="AD53" i="8" s="1"/>
  <c r="Q52" i="8" a="1"/>
  <c r="AH53" i="8" a="1"/>
  <c r="AH53" i="8" s="1"/>
  <c r="E164" i="8"/>
  <c r="D48" i="8" a="1"/>
  <c r="D49" i="8" s="1"/>
  <c r="AH49" i="8" a="1"/>
  <c r="AH49" i="8" s="1"/>
  <c r="AI49" i="8" a="1"/>
  <c r="AI49" i="8" s="1"/>
  <c r="AE49" i="8" a="1"/>
  <c r="AE49" i="8" s="1"/>
  <c r="D181" i="8"/>
  <c r="L83" i="4" s="1"/>
  <c r="E165" i="8"/>
  <c r="F42" i="8"/>
  <c r="C122" i="8"/>
  <c r="F52" i="8" a="1"/>
  <c r="F53" i="8" s="1"/>
  <c r="P20" i="8"/>
  <c r="O20" i="8"/>
  <c r="Q20" i="8"/>
  <c r="R20" i="8"/>
  <c r="E98" i="8"/>
  <c r="C123" i="8" s="1"/>
  <c r="E99" i="8"/>
  <c r="D52" i="8" a="1"/>
  <c r="W49" i="8" a="1"/>
  <c r="W49" i="8" s="1"/>
  <c r="Y49" i="8" a="1"/>
  <c r="Y49" i="8" s="1"/>
  <c r="G48" i="8" a="1"/>
  <c r="J48" i="8" a="1"/>
  <c r="V49" i="8" a="1"/>
  <c r="V49" i="8" s="1"/>
  <c r="E48" i="8" a="1"/>
  <c r="AA49" i="8" a="1"/>
  <c r="AA49" i="8" s="1"/>
  <c r="Z49" i="8" a="1"/>
  <c r="Z49" i="8" s="1"/>
  <c r="F48" i="8" a="1"/>
  <c r="X49" i="8" a="1"/>
  <c r="X49" i="8" s="1"/>
  <c r="I48" i="8" a="1"/>
  <c r="H48" i="8" a="1"/>
  <c r="K20" i="8"/>
  <c r="H19" i="8"/>
  <c r="H17" i="8"/>
  <c r="H15" i="8"/>
  <c r="H13" i="8"/>
  <c r="H11" i="8"/>
  <c r="H9" i="8"/>
  <c r="H7" i="8"/>
  <c r="H5" i="8"/>
  <c r="I20" i="8"/>
  <c r="I18" i="8"/>
  <c r="I16" i="8"/>
  <c r="I14" i="8"/>
  <c r="I12" i="8"/>
  <c r="I10" i="8"/>
  <c r="I8" i="8"/>
  <c r="I6" i="8"/>
  <c r="H20" i="8"/>
  <c r="H18" i="8"/>
  <c r="H16" i="8"/>
  <c r="H14" i="8"/>
  <c r="H12" i="8"/>
  <c r="H10" i="8"/>
  <c r="H8" i="8"/>
  <c r="H6" i="8"/>
  <c r="I19" i="8"/>
  <c r="I17" i="8"/>
  <c r="I15" i="8"/>
  <c r="I13" i="8"/>
  <c r="I11" i="8"/>
  <c r="I9" i="8"/>
  <c r="I7" i="8"/>
  <c r="I5" i="8"/>
  <c r="F99" i="8"/>
  <c r="F98" i="8"/>
  <c r="C124" i="8" s="1"/>
  <c r="W53" i="8" a="1"/>
  <c r="W53" i="8" s="1"/>
  <c r="F127" i="8"/>
  <c r="I42" i="8"/>
  <c r="I41" i="8"/>
  <c r="I40" i="8"/>
  <c r="I39" i="8"/>
  <c r="I38" i="8"/>
  <c r="I37" i="8"/>
  <c r="I36" i="8"/>
  <c r="I35" i="8"/>
  <c r="H42" i="8"/>
  <c r="H41" i="8"/>
  <c r="H40" i="8"/>
  <c r="H39" i="8"/>
  <c r="H38" i="8"/>
  <c r="H37" i="8"/>
  <c r="H36" i="8"/>
  <c r="H35" i="8"/>
  <c r="G42" i="8"/>
  <c r="G41" i="8"/>
  <c r="G40" i="8"/>
  <c r="G39" i="8"/>
  <c r="G38" i="8"/>
  <c r="G37" i="8"/>
  <c r="G36" i="8"/>
  <c r="G35" i="8"/>
  <c r="F41" i="8"/>
  <c r="F40" i="8"/>
  <c r="F39" i="8"/>
  <c r="F38" i="8"/>
  <c r="F37" i="8"/>
  <c r="F36" i="8"/>
  <c r="F35" i="8"/>
  <c r="R19" i="8"/>
  <c r="P18" i="8"/>
  <c r="Q17" i="8"/>
  <c r="R16" i="8"/>
  <c r="P15" i="8"/>
  <c r="K19" i="8"/>
  <c r="K18" i="8"/>
  <c r="K17" i="8"/>
  <c r="K15" i="8"/>
  <c r="K13" i="8"/>
  <c r="P16" i="8"/>
  <c r="K16" i="8"/>
  <c r="R17" i="8"/>
  <c r="O16" i="8"/>
  <c r="Q15" i="8"/>
  <c r="J20" i="8"/>
  <c r="J16" i="8"/>
  <c r="Q19" i="8"/>
  <c r="O18" i="8"/>
  <c r="P17" i="8"/>
  <c r="Q16" i="8"/>
  <c r="O15" i="8"/>
  <c r="J18" i="8"/>
  <c r="J17" i="8"/>
  <c r="J15" i="8"/>
  <c r="J13" i="8"/>
  <c r="P19" i="8"/>
  <c r="R18" i="8"/>
  <c r="O17" i="8"/>
  <c r="R15" i="8"/>
  <c r="K14" i="8"/>
  <c r="O19" i="8"/>
  <c r="Q18" i="8"/>
  <c r="J19" i="8"/>
  <c r="J14" i="8"/>
  <c r="F81" i="8"/>
  <c r="E81" i="8"/>
  <c r="K52" i="8" a="1"/>
  <c r="K52" i="8" s="1"/>
  <c r="G83" i="8" s="1"/>
  <c r="AC53" i="8" a="1"/>
  <c r="AC53" i="8" s="1"/>
  <c r="H28" i="8"/>
  <c r="C129" i="8"/>
  <c r="C126" i="8"/>
  <c r="F125" i="8"/>
  <c r="F123" i="8"/>
  <c r="E128" i="8"/>
  <c r="E125" i="8"/>
  <c r="F128" i="8"/>
  <c r="E123" i="8"/>
  <c r="D123" i="8"/>
  <c r="C128" i="8"/>
  <c r="F126" i="8"/>
  <c r="F124" i="8"/>
  <c r="F122" i="8"/>
  <c r="E129" i="8"/>
  <c r="E126" i="8"/>
  <c r="E124" i="8"/>
  <c r="E122" i="8"/>
  <c r="D124" i="8"/>
  <c r="C125" i="8"/>
  <c r="E127" i="8"/>
  <c r="K99" i="8"/>
  <c r="D129" i="8" s="1"/>
  <c r="K98" i="8"/>
  <c r="J98" i="8"/>
  <c r="J99" i="8"/>
  <c r="D128" i="8" s="1"/>
  <c r="AB53" i="8" a="1"/>
  <c r="AB53" i="8" s="1"/>
  <c r="I98" i="8"/>
  <c r="C127" i="8" s="1"/>
  <c r="I99" i="8"/>
  <c r="D127" i="8" s="1"/>
  <c r="G99" i="8"/>
  <c r="D125" i="8" s="1"/>
  <c r="H32" i="8"/>
  <c r="G28" i="8"/>
  <c r="H30" i="8"/>
  <c r="H99" i="8"/>
  <c r="D126" i="8" s="1"/>
  <c r="G29" i="8"/>
  <c r="F31" i="8"/>
  <c r="I33" i="8"/>
  <c r="I29" i="8"/>
  <c r="I31" i="8"/>
  <c r="I32" i="8"/>
  <c r="G34" i="8"/>
  <c r="G30" i="8"/>
  <c r="F29" i="8"/>
  <c r="F34" i="8"/>
  <c r="H31" i="8"/>
  <c r="H29" i="8"/>
  <c r="F28" i="8"/>
  <c r="G33" i="8"/>
  <c r="F33" i="8"/>
  <c r="I34" i="8"/>
  <c r="F32" i="8"/>
  <c r="I28" i="8"/>
  <c r="H34" i="8"/>
  <c r="H33" i="8"/>
  <c r="G32" i="8"/>
  <c r="I30" i="8"/>
  <c r="G31" i="8"/>
  <c r="AA53" i="8" a="1"/>
  <c r="AA53" i="8" s="1"/>
  <c r="J52" i="8" a="1"/>
  <c r="J53" i="8" s="1"/>
  <c r="I52" i="8" a="1"/>
  <c r="Z53" i="8" a="1"/>
  <c r="Z53" i="8" s="1"/>
  <c r="X53" i="8" a="1"/>
  <c r="X53" i="8" s="1"/>
  <c r="G52" i="8" a="1"/>
  <c r="G53" i="8" s="1"/>
  <c r="H52" i="8" a="1"/>
  <c r="H53" i="8" s="1"/>
  <c r="V53" i="8" a="1"/>
  <c r="V53" i="8" s="1"/>
  <c r="E52" i="8" a="1"/>
  <c r="E52" i="8" s="1"/>
  <c r="G77" i="8" s="1"/>
  <c r="O6" i="8"/>
  <c r="U53" i="8" a="1"/>
  <c r="U53" i="8" s="1"/>
  <c r="Y53" i="8" a="1"/>
  <c r="Y53" i="8" s="1"/>
  <c r="E76" i="8"/>
  <c r="Q13" i="8"/>
  <c r="J10" i="8"/>
  <c r="K5" i="8"/>
  <c r="P10" i="8"/>
  <c r="O9" i="8"/>
  <c r="E77" i="8"/>
  <c r="O12" i="8"/>
  <c r="Q9" i="8"/>
  <c r="E78" i="8"/>
  <c r="Q6" i="8"/>
  <c r="E79" i="8"/>
  <c r="O8" i="8"/>
  <c r="Q12" i="8"/>
  <c r="I77" i="8"/>
  <c r="I76" i="8"/>
  <c r="I79" i="8"/>
  <c r="I78" i="8"/>
  <c r="R10" i="8"/>
  <c r="K6" i="8"/>
  <c r="Q11" i="8"/>
  <c r="R7" i="8"/>
  <c r="I80" i="8"/>
  <c r="F82" i="8"/>
  <c r="J82" i="8"/>
  <c r="J81" i="8"/>
  <c r="F84" i="8"/>
  <c r="J84" i="8"/>
  <c r="F83" i="8"/>
  <c r="J83" i="8"/>
  <c r="O10" i="8"/>
  <c r="K10" i="8"/>
  <c r="R8" i="8"/>
  <c r="K8" i="8"/>
  <c r="J6" i="8"/>
  <c r="P6" i="8"/>
  <c r="R6" i="8"/>
  <c r="J12" i="8"/>
  <c r="P12" i="8"/>
  <c r="R12" i="8"/>
  <c r="Q8" i="8"/>
  <c r="K12" i="8"/>
  <c r="J9" i="8"/>
  <c r="P9" i="8"/>
  <c r="R9" i="8"/>
  <c r="J80" i="8"/>
  <c r="F77" i="8"/>
  <c r="J77" i="8"/>
  <c r="F76" i="8"/>
  <c r="J76" i="8"/>
  <c r="F79" i="8"/>
  <c r="J79" i="8"/>
  <c r="F78" i="8"/>
  <c r="J78" i="8"/>
  <c r="P13" i="8"/>
  <c r="O11" i="8"/>
  <c r="K9" i="8"/>
  <c r="J7" i="8"/>
  <c r="P7" i="8"/>
  <c r="R13" i="8"/>
  <c r="O13" i="8"/>
  <c r="K7" i="8"/>
  <c r="J5" i="8"/>
  <c r="O14" i="8"/>
  <c r="Q14" i="8"/>
  <c r="Q10" i="8"/>
  <c r="J8" i="8"/>
  <c r="J11" i="8"/>
  <c r="P11" i="8"/>
  <c r="R11" i="8"/>
  <c r="O7" i="8"/>
  <c r="Q7" i="8"/>
  <c r="P8" i="8"/>
  <c r="K11" i="8"/>
  <c r="P14" i="8"/>
  <c r="R14" i="8"/>
  <c r="E82" i="8"/>
  <c r="I82" i="8"/>
  <c r="I81" i="8"/>
  <c r="E84" i="8"/>
  <c r="I84" i="8"/>
  <c r="E83" i="8"/>
  <c r="I83" i="8"/>
  <c r="F80" i="8"/>
  <c r="E80" i="8"/>
  <c r="H84" i="8" l="1"/>
  <c r="Q48" i="8"/>
  <c r="Q49" i="8"/>
  <c r="N48" i="8"/>
  <c r="N49" i="8"/>
  <c r="L48" i="8"/>
  <c r="C84" i="8" s="1"/>
  <c r="L49" i="8"/>
  <c r="D84" i="8" s="1"/>
  <c r="M48" i="8"/>
  <c r="M49" i="8"/>
  <c r="K48" i="8"/>
  <c r="K49" i="8"/>
  <c r="D83" i="8" s="1"/>
  <c r="R48" i="8"/>
  <c r="C90" i="8" s="1"/>
  <c r="R49" i="8"/>
  <c r="D90" i="8" s="1"/>
  <c r="P48" i="8"/>
  <c r="P49" i="8"/>
  <c r="O48" i="8"/>
  <c r="O49" i="8"/>
  <c r="F91" i="8"/>
  <c r="K55" i="4" s="1"/>
  <c r="K56" i="4" s="1"/>
  <c r="E91" i="8"/>
  <c r="K54" i="4" s="1"/>
  <c r="D137" i="8"/>
  <c r="J102" i="4" s="1"/>
  <c r="E137" i="8"/>
  <c r="K101" i="4" s="1"/>
  <c r="F137" i="8"/>
  <c r="K102" i="4" s="1"/>
  <c r="C137" i="8"/>
  <c r="J101" i="4" s="1"/>
  <c r="A154" i="8"/>
  <c r="A155" i="8" s="1"/>
  <c r="L52" i="8"/>
  <c r="G84" i="8" s="1"/>
  <c r="D48" i="8"/>
  <c r="C76" i="8" s="1"/>
  <c r="C83" i="8"/>
  <c r="D89" i="8"/>
  <c r="C89" i="8"/>
  <c r="C85" i="8"/>
  <c r="D85" i="8"/>
  <c r="N53" i="8"/>
  <c r="H86" i="8" s="1"/>
  <c r="N52" i="8"/>
  <c r="G86" i="8" s="1"/>
  <c r="M52" i="8"/>
  <c r="G85" i="8" s="1"/>
  <c r="M53" i="8"/>
  <c r="H85" i="8" s="1"/>
  <c r="O52" i="8"/>
  <c r="G87" i="8" s="1"/>
  <c r="O53" i="8"/>
  <c r="H87" i="8" s="1"/>
  <c r="D87" i="8"/>
  <c r="C87" i="8"/>
  <c r="Q53" i="8"/>
  <c r="H89" i="8" s="1"/>
  <c r="Q52" i="8"/>
  <c r="G89" i="8" s="1"/>
  <c r="C86" i="8"/>
  <c r="D86" i="8"/>
  <c r="R53" i="8"/>
  <c r="H90" i="8" s="1"/>
  <c r="R52" i="8"/>
  <c r="G90" i="8" s="1"/>
  <c r="D182" i="8"/>
  <c r="L84" i="4" s="1"/>
  <c r="P53" i="8"/>
  <c r="P52" i="8"/>
  <c r="I91" i="8"/>
  <c r="M54" i="4" s="1"/>
  <c r="J91" i="8"/>
  <c r="M55" i="4" s="1"/>
  <c r="F52" i="8"/>
  <c r="G78" i="8" s="1"/>
  <c r="F43" i="8"/>
  <c r="H43" i="8"/>
  <c r="D52" i="8"/>
  <c r="G76" i="8" s="1"/>
  <c r="D53" i="8"/>
  <c r="H76" i="8" s="1"/>
  <c r="I43" i="8"/>
  <c r="G43" i="8"/>
  <c r="I48" i="8"/>
  <c r="C81" i="8" s="1"/>
  <c r="I49" i="8"/>
  <c r="D81" i="8" s="1"/>
  <c r="J48" i="8"/>
  <c r="C82" i="8" s="1"/>
  <c r="J49" i="8"/>
  <c r="D82" i="8" s="1"/>
  <c r="H49" i="8"/>
  <c r="D80" i="8" s="1"/>
  <c r="H48" i="8"/>
  <c r="C80" i="8" s="1"/>
  <c r="G49" i="8"/>
  <c r="G48" i="8"/>
  <c r="C79" i="8" s="1"/>
  <c r="F48" i="8"/>
  <c r="C78" i="8" s="1"/>
  <c r="F49" i="8"/>
  <c r="D78" i="8" s="1"/>
  <c r="E48" i="8"/>
  <c r="E49" i="8"/>
  <c r="D77" i="8" s="1"/>
  <c r="J21" i="8"/>
  <c r="I21" i="8"/>
  <c r="P2" i="8"/>
  <c r="P21" i="8"/>
  <c r="H21" i="8"/>
  <c r="Q21" i="8"/>
  <c r="K21" i="8"/>
  <c r="R2" i="8"/>
  <c r="R21" i="8"/>
  <c r="O21" i="8"/>
  <c r="D76" i="8"/>
  <c r="K53" i="8"/>
  <c r="H83" i="8" s="1"/>
  <c r="H79" i="8"/>
  <c r="H82" i="8"/>
  <c r="C77" i="8"/>
  <c r="J52" i="8"/>
  <c r="G82" i="8" s="1"/>
  <c r="I52" i="8"/>
  <c r="G81" i="8" s="1"/>
  <c r="I53" i="8"/>
  <c r="H81" i="8" s="1"/>
  <c r="D79" i="8"/>
  <c r="H78" i="8"/>
  <c r="G52" i="8"/>
  <c r="G79" i="8" s="1"/>
  <c r="H52" i="8"/>
  <c r="G80" i="8" s="1"/>
  <c r="H80" i="8"/>
  <c r="E53" i="8"/>
  <c r="H77" i="8" s="1"/>
  <c r="N130" i="8" l="1"/>
  <c r="O84" i="8"/>
  <c r="O130" i="8"/>
  <c r="M84" i="8"/>
  <c r="N128" i="8"/>
  <c r="N126" i="8"/>
  <c r="N124" i="8"/>
  <c r="N122" i="8"/>
  <c r="N127" i="8"/>
  <c r="N125" i="8"/>
  <c r="N123" i="8"/>
  <c r="O128" i="8"/>
  <c r="O126" i="8"/>
  <c r="O124" i="8"/>
  <c r="O122" i="8"/>
  <c r="O127" i="8"/>
  <c r="O125" i="8"/>
  <c r="O123" i="8"/>
  <c r="O82" i="8"/>
  <c r="O78" i="8"/>
  <c r="O80" i="8"/>
  <c r="O77" i="8"/>
  <c r="O79" i="8"/>
  <c r="O76" i="8"/>
  <c r="O81" i="8"/>
  <c r="M80" i="8"/>
  <c r="M76" i="8"/>
  <c r="M78" i="8"/>
  <c r="M81" i="8"/>
  <c r="M77" i="8"/>
  <c r="M82" i="8"/>
  <c r="M79" i="8"/>
  <c r="C91" i="8"/>
  <c r="J54" i="4" s="1"/>
  <c r="D152" i="8"/>
  <c r="L36" i="4" s="1"/>
  <c r="D153" i="8"/>
  <c r="L37" i="4" s="1"/>
  <c r="G91" i="8"/>
  <c r="L54" i="4" s="1"/>
  <c r="H91" i="8"/>
  <c r="L55" i="4" s="1"/>
  <c r="D91" i="8"/>
  <c r="J55" i="4" s="1"/>
  <c r="J56" i="4" s="1"/>
  <c r="A156" i="8"/>
  <c r="N84" i="8" l="1"/>
  <c r="L84" i="8"/>
  <c r="N81" i="8"/>
  <c r="N77" i="8"/>
  <c r="N80" i="8"/>
  <c r="N82" i="8"/>
  <c r="N78" i="8"/>
  <c r="N79" i="8"/>
  <c r="N76" i="8"/>
  <c r="L76" i="8"/>
  <c r="L79" i="8"/>
  <c r="L82" i="8"/>
  <c r="L78" i="8"/>
  <c r="L81" i="8"/>
  <c r="L77" i="8"/>
  <c r="L80" i="8"/>
  <c r="D183" i="8"/>
  <c r="L85" i="4" s="1"/>
  <c r="A157" i="8"/>
  <c r="D154" i="8"/>
  <c r="L38" i="4" s="1"/>
  <c r="D155" i="8" l="1"/>
  <c r="D184" i="8"/>
  <c r="A158" i="8"/>
  <c r="D156" i="8" s="1"/>
  <c r="D186" i="8" l="1"/>
  <c r="A159" i="8"/>
  <c r="D157" i="8" s="1"/>
  <c r="D187" i="8" l="1"/>
  <c r="A160" i="8"/>
  <c r="D158" i="8" l="1"/>
  <c r="A161" i="8"/>
  <c r="D189" i="8" l="1"/>
  <c r="D188" i="8"/>
  <c r="D159" i="8"/>
  <c r="A162" i="8"/>
  <c r="D160" i="8" l="1"/>
  <c r="A163" i="8"/>
  <c r="D161" i="8" s="1"/>
  <c r="A193" i="8" l="1"/>
  <c r="A194" i="8" s="1"/>
  <c r="D190" i="8"/>
  <c r="A164" i="8"/>
  <c r="D162" i="8" s="1"/>
  <c r="D192" i="8" l="1"/>
  <c r="D194" i="8"/>
  <c r="D191" i="8"/>
  <c r="D193" i="8"/>
  <c r="A165" i="8"/>
  <c r="D163" i="8" s="1"/>
  <c r="D164" i="8" l="1"/>
  <c r="D165" i="8"/>
  <c r="N6" i="16" l="1"/>
  <c r="B48" i="17" l="1"/>
  <c r="E44" i="17"/>
  <c r="F29" i="17" s="1"/>
  <c r="F29" i="12" s="1"/>
  <c r="E42" i="17"/>
  <c r="F27" i="17" s="1"/>
  <c r="F27" i="12" s="1"/>
  <c r="T50" i="17"/>
  <c r="T60" i="17" s="1"/>
  <c r="E43" i="17"/>
  <c r="F28" i="17" s="1"/>
  <c r="F28" i="12" s="1"/>
  <c r="C33" i="17" l="1"/>
  <c r="N5" i="17"/>
  <c r="E38" i="17"/>
  <c r="F23" i="17" s="1"/>
  <c r="F23" i="12" s="1"/>
  <c r="E36" i="17"/>
  <c r="F21" i="17" s="1"/>
  <c r="F21" i="12" s="1"/>
  <c r="F36" i="17" a="1"/>
  <c r="E37" i="17"/>
  <c r="F22" i="17" s="1"/>
  <c r="F22" i="12" s="1"/>
  <c r="E40" i="17"/>
  <c r="F25" i="17" s="1"/>
  <c r="F25" i="12" s="1"/>
  <c r="E41" i="17"/>
  <c r="F26" i="17" s="1"/>
  <c r="F26" i="12" s="1"/>
  <c r="E39" i="17"/>
  <c r="F24" i="17" s="1"/>
  <c r="F24" i="12" s="1"/>
  <c r="T65" i="17"/>
  <c r="F41" i="17" l="1"/>
  <c r="F39" i="17"/>
  <c r="G24" i="17" s="1"/>
  <c r="G24" i="12" s="1"/>
  <c r="F44" i="17"/>
  <c r="K47" i="17" s="1"/>
  <c r="F40" i="17"/>
  <c r="F38" i="17"/>
  <c r="E47" i="17" s="1"/>
  <c r="F42" i="17"/>
  <c r="F37" i="17"/>
  <c r="D47" i="17" s="1"/>
  <c r="F36" i="17"/>
  <c r="F43" i="17"/>
  <c r="J47" i="17" s="1"/>
  <c r="C30" i="17"/>
  <c r="D36" i="17" l="1" a="1"/>
  <c r="D38" i="17" s="1"/>
  <c r="H47" i="17"/>
  <c r="G26" i="17"/>
  <c r="G26" i="12" s="1"/>
  <c r="F47" i="17"/>
  <c r="G22" i="17"/>
  <c r="G22" i="12" s="1"/>
  <c r="I47" i="17"/>
  <c r="G27" i="17"/>
  <c r="G27" i="12" s="1"/>
  <c r="G47" i="17"/>
  <c r="G25" i="17"/>
  <c r="G25" i="12" s="1"/>
  <c r="I24" i="17"/>
  <c r="G23" i="17"/>
  <c r="G23" i="12" s="1"/>
  <c r="C47" i="17"/>
  <c r="G21" i="17"/>
  <c r="G21" i="12" s="1"/>
  <c r="D42" i="17" l="1"/>
  <c r="C42" i="17" s="1"/>
  <c r="D39" i="17"/>
  <c r="C39" i="17" s="1"/>
  <c r="D43" i="17"/>
  <c r="C43" i="17" s="1"/>
  <c r="D44" i="17"/>
  <c r="C44" i="17" s="1"/>
  <c r="D40" i="17"/>
  <c r="C40" i="17" s="1"/>
  <c r="D37" i="17"/>
  <c r="C37" i="17" s="1"/>
  <c r="D36" i="17"/>
  <c r="C36" i="17" s="1"/>
  <c r="D41" i="17"/>
  <c r="C41" i="17" s="1"/>
  <c r="I26" i="17"/>
  <c r="I22" i="17"/>
  <c r="R56" i="17" a="1"/>
  <c r="R56" i="17" s="1"/>
  <c r="I27" i="17"/>
  <c r="I25" i="17"/>
  <c r="I21" i="17"/>
  <c r="C38" i="17"/>
  <c r="E29" i="17"/>
  <c r="E29" i="12" s="1"/>
  <c r="R54" i="17" a="1"/>
  <c r="R54" i="17" s="1"/>
  <c r="R55" i="17" a="1"/>
  <c r="R55" i="17" s="1"/>
  <c r="R52" i="17" a="1"/>
  <c r="R52" i="17" s="1"/>
  <c r="R58" i="17" a="1"/>
  <c r="R58" i="17" s="1"/>
  <c r="R59" i="17" a="1"/>
  <c r="R59" i="17" s="1"/>
  <c r="S59" i="17" s="1"/>
  <c r="R57" i="17" a="1"/>
  <c r="R57" i="17" s="1"/>
  <c r="I23" i="17"/>
  <c r="R50" i="17" a="1"/>
  <c r="R50" i="17" s="1"/>
  <c r="S50" i="17" s="1"/>
  <c r="R53" i="17" a="1"/>
  <c r="R53" i="17" s="1"/>
  <c r="R51" i="17" a="1"/>
  <c r="R51" i="17" s="1"/>
  <c r="E24" i="17" l="1"/>
  <c r="E24" i="12" s="1"/>
  <c r="S52" i="17"/>
  <c r="E28" i="17"/>
  <c r="E28" i="12" s="1"/>
  <c r="S51" i="17"/>
  <c r="S53" i="17"/>
  <c r="S58" i="17"/>
  <c r="E26" i="17"/>
  <c r="E26" i="12" s="1"/>
  <c r="S57" i="17"/>
  <c r="S55" i="17"/>
  <c r="S56" i="17"/>
  <c r="S54" i="17"/>
  <c r="E22" i="17"/>
  <c r="E22" i="12" s="1"/>
  <c r="G39" i="17"/>
  <c r="E27" i="17"/>
  <c r="E27" i="12" s="1"/>
  <c r="E25" i="17"/>
  <c r="E25" i="12" s="1"/>
  <c r="E21" i="17"/>
  <c r="E21" i="12" s="1"/>
  <c r="I20" i="17"/>
  <c r="E23" i="17"/>
  <c r="E23" i="12" s="1"/>
  <c r="S60" i="17" l="1"/>
  <c r="G19" i="17" l="1"/>
  <c r="G19" i="12" s="1"/>
  <c r="G30" i="17" l="1"/>
  <c r="E11" i="1"/>
  <c r="D10" i="1"/>
  <c r="E10" i="1" l="1"/>
  <c r="R9" i="1"/>
  <c r="S3" i="1" s="1"/>
  <c r="H7" i="1" l="1"/>
  <c r="H6" i="1" s="1"/>
  <c r="I6" i="1" s="1"/>
  <c r="H11" i="1"/>
  <c r="I11" i="1" s="1"/>
  <c r="K10" i="1"/>
  <c r="H12" i="1" l="1"/>
  <c r="K8" i="1"/>
  <c r="L10" i="1"/>
  <c r="K9" i="1" l="1"/>
  <c r="L8" i="1"/>
  <c r="M8" i="1" s="1"/>
  <c r="L9" i="1" l="1"/>
  <c r="M9" i="1" s="1"/>
  <c r="L6" i="1" s="1"/>
  <c r="M6" i="1" s="1"/>
  <c r="M10" i="1" l="1"/>
  <c r="I28" i="12" l="1"/>
  <c r="I29" i="12"/>
  <c r="I38" i="12" l="1"/>
  <c r="I39" i="12"/>
  <c r="I40" i="12"/>
  <c r="I37" i="12"/>
  <c r="I41" i="12"/>
  <c r="I36" i="12"/>
  <c r="I35" i="12" l="1"/>
  <c r="I24" i="12" l="1"/>
  <c r="I23" i="12" l="1"/>
  <c r="I27" i="12"/>
  <c r="I26" i="12"/>
  <c r="I21" i="12"/>
  <c r="I22" i="12"/>
  <c r="I25" i="12"/>
  <c r="I20" i="12" l="1"/>
</calcChain>
</file>

<file path=xl/sharedStrings.xml><?xml version="1.0" encoding="utf-8"?>
<sst xmlns="http://schemas.openxmlformats.org/spreadsheetml/2006/main" count="683" uniqueCount="340">
  <si>
    <t xml:space="preserve">RR_X = </t>
  </si>
  <si>
    <t>X=1</t>
  </si>
  <si>
    <t>X=0</t>
  </si>
  <si>
    <t>Sum</t>
  </si>
  <si>
    <t>P(C=j | E=i)</t>
  </si>
  <si>
    <t>P(C=j | E=0)</t>
  </si>
  <si>
    <t>P(C=j | E=1)</t>
  </si>
  <si>
    <t>P(C=j | E=2)</t>
  </si>
  <si>
    <t>P(C=j | E=3)</t>
  </si>
  <si>
    <t>P(C=j | E=4)</t>
  </si>
  <si>
    <t>P(C=j | E=5)</t>
  </si>
  <si>
    <t>P(C=j | E=6)</t>
  </si>
  <si>
    <t>P(C=j | E=7)</t>
  </si>
  <si>
    <t>P(C=j | E=8)</t>
  </si>
  <si>
    <t>P(C=j | E=9)</t>
  </si>
  <si>
    <t>RR_Obs</t>
  </si>
  <si>
    <t>ERR_Obs</t>
  </si>
  <si>
    <t>-b</t>
  </si>
  <si>
    <t>ERR_X(i)</t>
  </si>
  <si>
    <t>RR_X(i)</t>
  </si>
  <si>
    <t>Det</t>
  </si>
  <si>
    <t>RR_X</t>
  </si>
  <si>
    <t>RR_obs</t>
  </si>
  <si>
    <t>ln(RR_X)</t>
  </si>
  <si>
    <t>ln(RR_obs)</t>
  </si>
  <si>
    <t>Beta</t>
  </si>
  <si>
    <t>Return</t>
  </si>
  <si>
    <t>ERR_X</t>
  </si>
  <si>
    <t>ERR_obs</t>
  </si>
  <si>
    <t>RR_X-1</t>
  </si>
  <si>
    <t>RR_obs-1</t>
  </si>
  <si>
    <t>X</t>
  </si>
  <si>
    <t>Obs</t>
  </si>
  <si>
    <t>X-score</t>
  </si>
  <si>
    <t>E(X)=</t>
  </si>
  <si>
    <t>Var(X)</t>
  </si>
  <si>
    <t>corr=</t>
  </si>
  <si>
    <t>Correlation - Mult Find RR_X Jnt</t>
  </si>
  <si>
    <t>b_0</t>
  </si>
  <si>
    <t>b_1</t>
  </si>
  <si>
    <t>RETURN</t>
  </si>
  <si>
    <t>Const</t>
  </si>
  <si>
    <t>x</t>
  </si>
  <si>
    <t>alpha</t>
  </si>
  <si>
    <t>P(C=j | X=1)</t>
  </si>
  <si>
    <t>P(C=j | X=2)</t>
  </si>
  <si>
    <t>P(C=j | X=0)</t>
  </si>
  <si>
    <t>P(C=j | X=3)</t>
  </si>
  <si>
    <t>P(C=j | X=4)</t>
  </si>
  <si>
    <t>P(C=j | X=5)</t>
  </si>
  <si>
    <t>P(C=j | X=6)</t>
  </si>
  <si>
    <t>P(C=j | X=7)</t>
  </si>
  <si>
    <t>P(C=j | X=8)</t>
  </si>
  <si>
    <t>P(C=j | X=9)</t>
  </si>
  <si>
    <t>P(X)</t>
  </si>
  <si>
    <t>With intrcpt</t>
  </si>
  <si>
    <t>Intercept=</t>
  </si>
  <si>
    <t>No intercept</t>
  </si>
  <si>
    <t>W/ intercept</t>
  </si>
  <si>
    <t>Fitted - log-linear (OLS)</t>
  </si>
  <si>
    <t>Fitted - linear (OLS)</t>
  </si>
  <si>
    <t>Log-linear (WLS)</t>
  </si>
  <si>
    <t>Linear (WLS)</t>
  </si>
  <si>
    <t>Smooth with prior weights</t>
  </si>
  <si>
    <t>Prior weights</t>
  </si>
  <si>
    <t>Total</t>
  </si>
  <si>
    <t>Smooth(X)</t>
  </si>
  <si>
    <t>Smooth(Obs)</t>
  </si>
  <si>
    <t>RR_C</t>
  </si>
  <si>
    <t>ERR_C</t>
  </si>
  <si>
    <t>OR_X,C</t>
  </si>
  <si>
    <t>Multiplicative model: Wgt reg: b = (X'WX)^-1 X'Wy</t>
  </si>
  <si>
    <t>Additive model: Smooth with prior weights</t>
  </si>
  <si>
    <t>Check results</t>
  </si>
  <si>
    <t>b</t>
  </si>
  <si>
    <t>Diag</t>
  </si>
  <si>
    <t>RR_c</t>
  </si>
  <si>
    <t>∑_j π_j ERR_C(j)</t>
  </si>
  <si>
    <t>ERR_c</t>
  </si>
  <si>
    <t>Mult model: Smooth with prior weights</t>
  </si>
  <si>
    <t>1=intrcpt; 0=no intrcpt</t>
  </si>
  <si>
    <t xml:space="preserve">RR_C = </t>
  </si>
  <si>
    <t>C=1</t>
  </si>
  <si>
    <t>C=0</t>
  </si>
  <si>
    <t>C-score</t>
  </si>
  <si>
    <t>E(C)=</t>
  </si>
  <si>
    <t>Var(C)</t>
  </si>
  <si>
    <t>Cov(X,C)</t>
  </si>
  <si>
    <t xml:space="preserve">RR_Obs = </t>
  </si>
  <si>
    <t xml:space="preserve">P(C=1 | X=0) = </t>
  </si>
  <si>
    <t xml:space="preserve">P(C=1 | X=1) = </t>
  </si>
  <si>
    <t xml:space="preserve">OR_X,C = </t>
  </si>
  <si>
    <t>Wgt</t>
  </si>
  <si>
    <t>Find RR_X: Multiplicative model: Wgt reg: b = (X'WX)^-1 X'Wy</t>
  </si>
  <si>
    <t>Results</t>
  </si>
  <si>
    <t>Exp score</t>
  </si>
  <si>
    <t>&lt;5</t>
  </si>
  <si>
    <t>15-19</t>
  </si>
  <si>
    <t>20-29</t>
  </si>
  <si>
    <t>5-9</t>
  </si>
  <si>
    <t>10-14</t>
  </si>
  <si>
    <t>30+</t>
  </si>
  <si>
    <t>P(C=0|X=i)</t>
  </si>
  <si>
    <t>P(C=1|X=i)</t>
  </si>
  <si>
    <t>wgt</t>
  </si>
  <si>
    <t>Mean</t>
  </si>
  <si>
    <t>1-19</t>
  </si>
  <si>
    <t>P(C|X)</t>
  </si>
  <si>
    <t>30-29</t>
  </si>
  <si>
    <t>40-49</t>
  </si>
  <si>
    <t>50-59</t>
  </si>
  <si>
    <t>≥60</t>
  </si>
  <si>
    <t>&lt;1.00</t>
  </si>
  <si>
    <t>1.00-1.29</t>
  </si>
  <si>
    <t>1.30-1.59</t>
  </si>
  <si>
    <t>≥1.60</t>
  </si>
  <si>
    <t>HDL (mmol/L)</t>
  </si>
  <si>
    <t>5-&lt;20</t>
  </si>
  <si>
    <t>100-&lt;200</t>
  </si>
  <si>
    <t>20-&lt;50</t>
  </si>
  <si>
    <t>50-&lt;100</t>
  </si>
  <si>
    <t>200-&lt;300</t>
  </si>
  <si>
    <t>300-&lt;400</t>
  </si>
  <si>
    <t>400-&lt;500</t>
  </si>
  <si>
    <r>
      <rPr>
        <sz val="11"/>
        <color theme="1"/>
        <rFont val="Calibri"/>
        <family val="2"/>
      </rPr>
      <t>≥</t>
    </r>
    <r>
      <rPr>
        <sz val="11"/>
        <color theme="1"/>
        <rFont val="Calibri"/>
        <family val="2"/>
        <scheme val="minor"/>
      </rPr>
      <t>500</t>
    </r>
  </si>
  <si>
    <t>&lt;18.5</t>
  </si>
  <si>
    <t>25-29.9</t>
  </si>
  <si>
    <t>30-34.9</t>
  </si>
  <si>
    <t>≥35</t>
  </si>
  <si>
    <t>18.5-24.9</t>
  </si>
  <si>
    <t>BMI</t>
  </si>
  <si>
    <t>ExampleData</t>
  </si>
  <si>
    <r>
      <t>A</t>
    </r>
    <r>
      <rPr>
        <b/>
        <sz val="11"/>
        <color theme="1"/>
        <rFont val="Calibri"/>
        <family val="2"/>
      </rPr>
      <t>×</t>
    </r>
    <r>
      <rPr>
        <b/>
        <sz val="11"/>
        <color theme="1"/>
        <rFont val="Calibri"/>
        <family val="2"/>
        <scheme val="minor"/>
      </rPr>
      <t>ERR_C</t>
    </r>
  </si>
  <si>
    <t>A</t>
  </si>
  <si>
    <t>∑_j π_j RR_C(j)</t>
  </si>
  <si>
    <t>W/O addin</t>
  </si>
  <si>
    <t>A^-1</t>
  </si>
  <si>
    <t>A*A^-1</t>
  </si>
  <si>
    <t>Exp Score (X)</t>
  </si>
  <si>
    <t>All CSS</t>
  </si>
  <si>
    <t>Level</t>
  </si>
  <si>
    <t>MMULT(MINVERSE(MMULT(MMULT(TRANSPOSE($C$5:$D14),$C$57:L66),$C$5:$D14)),MMULT(MMULT(TRANSPOSE($C$5:$D14),$C$57:L66),$F$5:$F14))</t>
  </si>
  <si>
    <t>Find ERR_X: Additive model: Wgt reg: b = (X'WX)^-1 X'Wy</t>
  </si>
  <si>
    <t>References:</t>
  </si>
  <si>
    <t>Axelson Scand J Work Environ Health 1978;4:98-102</t>
  </si>
  <si>
    <t xml:space="preserve">(b) Coronary heart disease and cigarette smoking in the Agricultural Heath Study  </t>
  </si>
  <si>
    <t>Definitions:</t>
  </si>
  <si>
    <t>C</t>
  </si>
  <si>
    <t>Joint probability of X and C</t>
  </si>
  <si>
    <t>Multiplicative:</t>
  </si>
  <si>
    <t>Additive:</t>
  </si>
  <si>
    <t>RR_X,C(i,j) = RR_X(i)*RR_C(j)</t>
  </si>
  <si>
    <t>RR_X,C(I,j) = 1+ERR_X(i)+ERR_C(j) = RR_X(i)+RR_C(j)-1</t>
  </si>
  <si>
    <t>Conditional probabilites P(C|X)</t>
  </si>
  <si>
    <t>Confounder score (C)</t>
  </si>
  <si>
    <t>`</t>
  </si>
  <si>
    <t>Joint probability P(X,C)</t>
  </si>
  <si>
    <t>Schlesselman Am J Epidemiol 1978</t>
  </si>
  <si>
    <t>Gail et al Am J Ind Med 1988;13:119-130</t>
  </si>
  <si>
    <t>P(X,C)</t>
  </si>
  <si>
    <t>Down syndrome</t>
  </si>
  <si>
    <t>Pack-years</t>
  </si>
  <si>
    <t>P(C|X) - NHANES ages 50-80</t>
  </si>
  <si>
    <t>Dose (mGy)</t>
  </si>
  <si>
    <t>Dose (Gy)</t>
  </si>
  <si>
    <t>Sheet</t>
  </si>
  <si>
    <t>**</t>
  </si>
  <si>
    <t>For ERR_Obs and ERR_X fixed, solve for ERR_C</t>
  </si>
  <si>
    <t>Mult: RR_X,C = RR_X * RR_C</t>
  </si>
  <si>
    <t>IndrctAdj</t>
  </si>
  <si>
    <t>A×RR_C</t>
  </si>
  <si>
    <t>A×ERR_C</t>
  </si>
  <si>
    <t xml:space="preserve">RR_X (fix) = </t>
  </si>
  <si>
    <t>Add: RR_X,C = RR_X + RR_C - 1</t>
  </si>
  <si>
    <t>Conditional distributions</t>
  </si>
  <si>
    <t>Correlation</t>
  </si>
  <si>
    <t>Level (X)</t>
  </si>
  <si>
    <t>Corr(X,C)=</t>
  </si>
  <si>
    <t>Bias</t>
  </si>
  <si>
    <t>Category (C)</t>
  </si>
  <si>
    <t>Multiplicative model: RR_X,C = RR_X * RR_C</t>
  </si>
  <si>
    <t>Additive model: RR_X,C = 1 + ERR_X + ERR_C</t>
  </si>
  <si>
    <t>Diff</t>
  </si>
  <si>
    <t xml:space="preserve"> eqns **</t>
  </si>
  <si>
    <t>P(C | X=0)</t>
  </si>
  <si>
    <t>P(C | X=2)</t>
  </si>
  <si>
    <t>P(C | X=3)</t>
  </si>
  <si>
    <t>P(C | X=4)</t>
  </si>
  <si>
    <t>P(C | X=5)</t>
  </si>
  <si>
    <t>P(C | X=6)</t>
  </si>
  <si>
    <t>P(C | X=7)</t>
  </si>
  <si>
    <t>P(C | X=8)</t>
  </si>
  <si>
    <t>P(C | X=9)</t>
  </si>
  <si>
    <t>P(C | X=1)</t>
  </si>
  <si>
    <t>P(C | X=10)</t>
  </si>
  <si>
    <t>P(C | X=11)</t>
  </si>
  <si>
    <t>P(C | X=12)</t>
  </si>
  <si>
    <t>P(C | X=13)</t>
  </si>
  <si>
    <t>P(C | X=14)</t>
  </si>
  <si>
    <t>P(C | X=15)</t>
  </si>
  <si>
    <t>Exposure</t>
  </si>
  <si>
    <t>Conditional probability of C given X</t>
  </si>
  <si>
    <t>Joint association of X and C:</t>
  </si>
  <si>
    <t>Level (C)</t>
  </si>
  <si>
    <t xml:space="preserve">ERR_X = </t>
  </si>
  <si>
    <t>Solve_RRC</t>
  </si>
  <si>
    <t>User info</t>
  </si>
  <si>
    <t>#P(C|X)</t>
  </si>
  <si>
    <t>#RR_Obs</t>
  </si>
  <si>
    <t xml:space="preserve">** Check: # rows/cols: RR_C solves first </t>
  </si>
  <si>
    <t>Conditional probabilites P(C|X=i)</t>
  </si>
  <si>
    <t>Solve for RR_C (ERR_C): Given P(C=j|X=i), RR_Obs (ERR_Obs) and RR_X (ERR_X)</t>
  </si>
  <si>
    <t>Probability of X, used to compute P(X,C)</t>
  </si>
  <si>
    <t>Confounder</t>
  </si>
  <si>
    <t>Axelson_Gail</t>
  </si>
  <si>
    <t>Solve_P(C|X)_BinC</t>
  </si>
  <si>
    <t xml:space="preserve">α </t>
  </si>
  <si>
    <t xml:space="preserve">β </t>
  </si>
  <si>
    <t>Estimates</t>
  </si>
  <si>
    <t>Joint distn P(X,C) &amp; correlation</t>
  </si>
  <si>
    <t xml:space="preserve">P(X=1) = </t>
  </si>
  <si>
    <t>(optional)</t>
  </si>
  <si>
    <r>
      <t xml:space="preserve">RR  =  1 + </t>
    </r>
    <r>
      <rPr>
        <b/>
        <sz val="12"/>
        <color theme="1"/>
        <rFont val="Calibri"/>
        <family val="2"/>
      </rPr>
      <t>α</t>
    </r>
    <r>
      <rPr>
        <b/>
        <sz val="12"/>
        <color theme="1"/>
        <rFont val="Calibri"/>
        <family val="2"/>
        <scheme val="minor"/>
      </rPr>
      <t xml:space="preserve"> + </t>
    </r>
    <r>
      <rPr>
        <b/>
        <sz val="12"/>
        <color theme="1"/>
        <rFont val="Calibri"/>
        <family val="2"/>
      </rPr>
      <t>β</t>
    </r>
    <r>
      <rPr>
        <b/>
        <sz val="12"/>
        <color theme="1"/>
        <rFont val="Calibri"/>
        <family val="2"/>
        <scheme val="minor"/>
      </rPr>
      <t>*x</t>
    </r>
  </si>
  <si>
    <r>
      <t>exp(</t>
    </r>
    <r>
      <rPr>
        <b/>
        <sz val="12"/>
        <color theme="1"/>
        <rFont val="Calibri"/>
        <family val="2"/>
      </rPr>
      <t>β</t>
    </r>
    <r>
      <rPr>
        <b/>
        <sz val="12"/>
        <color theme="1"/>
        <rFont val="Calibri"/>
        <family val="2"/>
        <scheme val="minor"/>
      </rPr>
      <t xml:space="preserve">) </t>
    </r>
  </si>
  <si>
    <t>Select Analysis</t>
  </si>
  <si>
    <t>RR_C =</t>
  </si>
  <si>
    <t xml:space="preserve">ERR_C = </t>
  </si>
  <si>
    <t>P(X|C)</t>
  </si>
  <si>
    <t>P(X|C) start/end</t>
  </si>
  <si>
    <t>ERR=</t>
  </si>
  <si>
    <t>Score C</t>
  </si>
  <si>
    <t>ln(RR_Obs)</t>
  </si>
  <si>
    <t/>
  </si>
  <si>
    <t>duplicate:</t>
  </si>
  <si>
    <t>W/O XNumbers addin</t>
  </si>
  <si>
    <t>.</t>
  </si>
  <si>
    <t>P(C)</t>
  </si>
  <si>
    <t>P(C|X)*P(X)</t>
  </si>
  <si>
    <t>P(C|X)P(X)</t>
  </si>
  <si>
    <t>Multiplicative: RR_X,C = RR_X * RR_C</t>
  </si>
  <si>
    <t>Additive: RR_X,C = RR_X + RR_C - 1</t>
  </si>
  <si>
    <t>RR = exp(α + β*x)</t>
  </si>
  <si>
    <t>Fitted_exp(X)</t>
  </si>
  <si>
    <t>Fitted_exp(Obs)</t>
  </si>
  <si>
    <t>Fitted_lin(X)</t>
  </si>
  <si>
    <t>Fitted_lin(Obs)</t>
  </si>
  <si>
    <r>
      <t xml:space="preserve">ERR  =  </t>
    </r>
    <r>
      <rPr>
        <b/>
        <sz val="12"/>
        <color theme="1"/>
        <rFont val="Calibri"/>
        <family val="2"/>
      </rPr>
      <t>α</t>
    </r>
    <r>
      <rPr>
        <b/>
        <sz val="12"/>
        <color theme="1"/>
        <rFont val="Calibri"/>
        <family val="2"/>
        <scheme val="minor"/>
      </rPr>
      <t xml:space="preserve"> + </t>
    </r>
    <r>
      <rPr>
        <b/>
        <sz val="12"/>
        <color theme="1"/>
        <rFont val="Calibri"/>
        <family val="2"/>
      </rPr>
      <t>β</t>
    </r>
    <r>
      <rPr>
        <b/>
        <sz val="12"/>
        <color theme="1"/>
        <rFont val="Calibri"/>
        <family val="2"/>
        <scheme val="minor"/>
      </rPr>
      <t>*x</t>
    </r>
  </si>
  <si>
    <t xml:space="preserve">Confounder score = </t>
  </si>
  <si>
    <t>Indirect RR Adjustment (IRRAD)</t>
  </si>
  <si>
    <t>• Solve for P(C=1|X=1) &amp; OR_X,C</t>
  </si>
  <si>
    <t>Enter one:</t>
  </si>
  <si>
    <t>Display=</t>
  </si>
  <si>
    <t>display=</t>
  </si>
  <si>
    <t>Invalid prob</t>
  </si>
  <si>
    <t>IndrctAdJ</t>
  </si>
  <si>
    <t>P(X) =</t>
  </si>
  <si>
    <t xml:space="preserve"> </t>
  </si>
  <si>
    <t>(a) Leukemia following pediatric CT scanning and confounding by cancer susceptibility syndromes (CSS)</t>
  </si>
  <si>
    <t>P(C=1|X=0)</t>
  </si>
  <si>
    <t>(c) Pooled analysis of studies of nuclear industry workers and mortality from all cancers except leukemia (INWORKS) - Uses "Solve P(C|X) (binary)"</t>
  </si>
  <si>
    <t>(d) Body mass index and all causes mortality - Uses "Solve P(C|X) (binary)"</t>
  </si>
  <si>
    <t>P(C=1 | X=0)</t>
  </si>
  <si>
    <t>P(C=1 | X=1)</t>
  </si>
  <si>
    <t>P(X=1)</t>
  </si>
  <si>
    <t xml:space="preserve"> Find RR_X: Fitted Mult RR model with Excel (not used)</t>
  </si>
  <si>
    <t xml:space="preserve"> Find ERR_X: Fitted ERR Add model with Excel (not used)</t>
  </si>
  <si>
    <t>no. scrs =</t>
  </si>
  <si>
    <t>Weighted LS Regression (fitted RRs)</t>
  </si>
  <si>
    <t>Scores</t>
  </si>
  <si>
    <t>Cats</t>
  </si>
  <si>
    <t>Set tolerance values</t>
  </si>
  <si>
    <t>Joint distn P(X,C) &amp; corr</t>
  </si>
  <si>
    <t>P(C=1 | X=1) &amp; OR_X,C</t>
  </si>
  <si>
    <t>Rounding decimal digits</t>
  </si>
  <si>
    <t>Legend:</t>
  </si>
  <si>
    <t>Note: referent category for RR and ERR must be level 0</t>
  </si>
  <si>
    <t>Relative risk of C at the referent category of X</t>
  </si>
  <si>
    <t>Excess relative risk of C (= RR_C - 1)</t>
  </si>
  <si>
    <t>Adjusted ("true") excess relative risk of X (= RR_X - 1)</t>
  </si>
  <si>
    <t>Observed excess relative risk of X (= RR_Obs - 1)</t>
  </si>
  <si>
    <t>Adjusted ("true") relative risk of X at the referent category of C</t>
  </si>
  <si>
    <t>Observed relative risk of X</t>
  </si>
  <si>
    <t>Odds ratio of X and C</t>
  </si>
  <si>
    <t>• Solve for P(C=1|X) &amp; OR_X,C</t>
  </si>
  <si>
    <t>1.80-2.19</t>
  </si>
  <si>
    <t>≥2.20</t>
  </si>
  <si>
    <t>1.60-179</t>
  </si>
  <si>
    <t>≥50</t>
  </si>
  <si>
    <t xml:space="preserve">(b1) Coronary heart disease and cigarette smoking in the Agricultural Heath Study - Uses "IndrctAdj" </t>
  </si>
  <si>
    <t xml:space="preserve">(b2) Coronary heart disease and cigarette smoking in the Agricultural Heath Study - Uses "Solve_RRC" </t>
  </si>
  <si>
    <t>Display(mult)=</t>
  </si>
  <si>
    <t>Display(add)=</t>
  </si>
  <si>
    <t>P(C|X) valid</t>
  </si>
  <si>
    <t>No RR_X=</t>
  </si>
  <si>
    <t>No RR_Obs=</t>
  </si>
  <si>
    <t>No ERR_X=</t>
  </si>
  <si>
    <t>No ERR_Obs=</t>
  </si>
  <si>
    <t>RR  =  1 + α + β*x</t>
  </si>
  <si>
    <t>ERR = α + β*x</t>
  </si>
  <si>
    <t>Version</t>
  </si>
  <si>
    <t xml:space="preserve">Initial coding </t>
  </si>
  <si>
    <t>Tolerance for sum of probabilities</t>
  </si>
  <si>
    <t>Enhance error trapping</t>
  </si>
  <si>
    <t>25 Oct 2018:</t>
  </si>
  <si>
    <t>13 Nov 2018:</t>
  </si>
  <si>
    <t>Data from examples in Lubin, Hauptmann and Blair (Ann Epidemiol 2018:28(11);801-807)</t>
  </si>
  <si>
    <t>Lubin, Hauptmann and Blair Ann Epidemiol 2018:28(11);801-807</t>
  </si>
  <si>
    <t>For X and C binary:</t>
  </si>
  <si>
    <t xml:space="preserve">For X and C categorical: </t>
  </si>
  <si>
    <t>(Optional)</t>
  </si>
  <si>
    <t>For X categorical and C binary:</t>
  </si>
  <si>
    <t>For X and C categorical:</t>
  </si>
  <si>
    <t>Provide RR_Obs, RR_C, P(C=1|X=0) and P(C=1|X=1) or OR_X,C</t>
  </si>
  <si>
    <t>• Find adjusted RR_X or ERR_X</t>
  </si>
  <si>
    <t>• Solve for RR_C or ERR_C</t>
  </si>
  <si>
    <t>Model for RR(X,C)</t>
  </si>
  <si>
    <t>Procedure</t>
  </si>
  <si>
    <t>Provide RR_Obs, RR_X, RR_C &amp; P(C=1|X=0)</t>
  </si>
  <si>
    <r>
      <rPr>
        <sz val="11"/>
        <color theme="1"/>
        <rFont val="Calibri"/>
        <family val="2"/>
      </rPr>
      <t xml:space="preserve">• </t>
    </r>
    <r>
      <rPr>
        <sz val="11"/>
        <color theme="1"/>
        <rFont val="Calibri"/>
        <family val="2"/>
        <scheme val="minor"/>
      </rPr>
      <t>Find adjusted RR_X</t>
    </r>
  </si>
  <si>
    <t>Pearson correlation: C &amp; X scores and marginal P(X)</t>
  </si>
  <si>
    <t>Input information</t>
  </si>
  <si>
    <t>Weights for LS regression (default = 1.0; non-positive weights set to zero)</t>
  </si>
  <si>
    <t>Weights for smooth (default is equal weights; non-positive weights set to zero)</t>
  </si>
  <si>
    <t>Find adjusted RR_X (mult model) or ERR_X (add model)</t>
  </si>
  <si>
    <t>Solve for P(C=1|X=1) &amp; OR_X,C</t>
  </si>
  <si>
    <t>Solve for P(C=1|X=i) given RR_Obs, RR_X &amp; RR_C (mult)</t>
  </si>
  <si>
    <t>Solve for P(C=1|X=i) given ERR_Obs, ERR_X &amp; ERR_C (add)</t>
  </si>
  <si>
    <t>Solve for RR_C (ERR_C), given P(C=j|X=i), RR_Obs &amp; RR_X or ERR_Obs &amp; ERR_X</t>
  </si>
  <si>
    <t>** Note: referent category must be lowest level</t>
  </si>
  <si>
    <t>Multiplicative: Provide RR_Obs, RR_X, RR_C and P(C=1|X=0)</t>
  </si>
  <si>
    <t>Additive: Provide ERR_Obs, ERR_X, ERR_C and P(C=1|X=0)</t>
  </si>
  <si>
    <t>Multiplicative: Provide RR_Obs, RR_X and P(C|X)</t>
  </si>
  <si>
    <t>Additive: Provide ERR_Obs, ERR_X and P(C|X)</t>
  </si>
  <si>
    <t>Smooth &amp; LS regression: Include C &amp; X scores and weights</t>
  </si>
  <si>
    <t>Additive: Provide ERR_Obs, ERR_C and P(C|X)</t>
  </si>
  <si>
    <t>Multiplicative: Provide RR_Obs, RR_C and P(C|X)</t>
  </si>
  <si>
    <t>20 Dec 2018:</t>
  </si>
  <si>
    <t>Reformat &amp; error trapping</t>
  </si>
  <si>
    <t xml:space="preserve">BIAS_ERR = </t>
  </si>
  <si>
    <t xml:space="preserve">BIAS_RR =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</si>
</sst>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00"/>
    <numFmt numFmtId="166" formatCode="0.00000"/>
    <numFmt numFmtId="167" formatCode="0.0000"/>
    <numFmt numFmtId="168" formatCode="0.000000"/>
    <numFmt numFmtId="169" formatCode="0.000E+00"/>
    <numFmt numFmtId="170" formatCode="0.0000000"/>
    <numFmt numFmtId="171" formatCode="0.00000000"/>
    <numFmt numFmtId="172" formatCode="0.000000000"/>
    <numFmt numFmtId="173" formatCode="0.00000000000"/>
  </numFmts>
  <fonts count="3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1"/>
      <color rgb="FFC00000"/>
      <name val="Calibri"/>
      <family val="2"/>
      <scheme val="minor"/>
    </font>
    <font>
      <sz val="10"/>
      <color theme="1"/>
      <name val="Courier New"/>
      <family val="3"/>
    </font>
    <font>
      <sz val="11"/>
      <color theme="1"/>
      <name val="Calibri"/>
      <family val="2"/>
    </font>
    <font>
      <sz val="10"/>
      <name val="Arial"/>
      <family val="2"/>
    </font>
    <font>
      <b/>
      <sz val="10"/>
      <color theme="1"/>
      <name val="Arial"/>
      <family val="2"/>
    </font>
    <font>
      <b/>
      <sz val="12"/>
      <name val="Arial"/>
      <family val="2"/>
    </font>
    <font>
      <b/>
      <sz val="11"/>
      <color theme="1"/>
      <name val="Calibri"/>
      <family val="2"/>
    </font>
    <font>
      <b/>
      <sz val="12"/>
      <color rgb="FFC00000"/>
      <name val="Calibri"/>
      <family val="2"/>
      <scheme val="minor"/>
    </font>
    <font>
      <sz val="11"/>
      <color rgb="FFC00000"/>
      <name val="Calibri"/>
      <family val="2"/>
      <scheme val="minor"/>
    </font>
    <font>
      <b/>
      <sz val="10"/>
      <name val="Arial"/>
      <family val="2"/>
    </font>
    <font>
      <b/>
      <i/>
      <sz val="11"/>
      <color theme="1"/>
      <name val="Calibri"/>
      <family val="2"/>
      <scheme val="minor"/>
    </font>
    <font>
      <b/>
      <i/>
      <sz val="14"/>
      <color theme="1"/>
      <name val="Calibri"/>
      <family val="2"/>
      <scheme val="minor"/>
    </font>
    <font>
      <sz val="10"/>
      <color rgb="FF000000"/>
      <name val="Calibri"/>
      <family val="2"/>
      <scheme val="minor"/>
    </font>
    <font>
      <sz val="11"/>
      <color rgb="FF000000"/>
      <name val="Calibri"/>
      <family val="2"/>
      <scheme val="minor"/>
    </font>
    <font>
      <sz val="11"/>
      <color rgb="FF000000"/>
      <name val="Times New Roman"/>
      <family val="1"/>
    </font>
    <font>
      <sz val="12"/>
      <color theme="1"/>
      <name val="Calibri"/>
      <family val="2"/>
      <scheme val="minor"/>
    </font>
    <font>
      <b/>
      <sz val="16"/>
      <color theme="1"/>
      <name val="Calibri"/>
      <family val="2"/>
      <scheme val="minor"/>
    </font>
    <font>
      <b/>
      <sz val="12"/>
      <color theme="1"/>
      <name val="Calibri"/>
      <family val="2"/>
    </font>
    <font>
      <b/>
      <sz val="11"/>
      <color rgb="FF000000"/>
      <name val="Calibri"/>
      <family val="2"/>
      <scheme val="minor"/>
    </font>
    <font>
      <b/>
      <sz val="12"/>
      <color rgb="FFC00000"/>
      <name val="Calibri"/>
      <family val="2"/>
    </font>
    <font>
      <b/>
      <sz val="14"/>
      <color rgb="FFC00000"/>
      <name val="Calibri"/>
      <family val="2"/>
      <scheme val="minor"/>
    </font>
    <font>
      <sz val="14"/>
      <color rgb="FFC00000"/>
      <name val="Calibri"/>
      <family val="2"/>
    </font>
    <font>
      <b/>
      <sz val="11"/>
      <color theme="1"/>
      <name val="Arial"/>
      <family val="2"/>
    </font>
    <font>
      <sz val="10"/>
      <color theme="1"/>
      <name val="Calibri"/>
      <family val="2"/>
      <scheme val="minor"/>
    </font>
    <font>
      <u/>
      <sz val="11"/>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9.9978637043366805E-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s>
  <cellStyleXfs count="1">
    <xf numFmtId="0" fontId="0" fillId="0" borderId="0"/>
  </cellStyleXfs>
  <cellXfs count="970">
    <xf numFmtId="0" fontId="0" fillId="0" borderId="0" xfId="0"/>
    <xf numFmtId="0" fontId="3" fillId="0" borderId="0" xfId="0" applyFont="1"/>
    <xf numFmtId="0" fontId="0" fillId="0" borderId="5" xfId="0" applyBorder="1" applyAlignment="1">
      <alignment horizontal="center"/>
    </xf>
    <xf numFmtId="0" fontId="0" fillId="0" borderId="6" xfId="0" applyBorder="1" applyAlignment="1">
      <alignment horizontal="center"/>
    </xf>
    <xf numFmtId="0" fontId="1" fillId="0" borderId="0" xfId="0" applyFont="1"/>
    <xf numFmtId="2" fontId="0" fillId="0" borderId="0" xfId="0" applyNumberFormat="1" applyAlignment="1">
      <alignment horizontal="center"/>
    </xf>
    <xf numFmtId="0" fontId="0" fillId="0" borderId="0"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1" fillId="0" borderId="0" xfId="0" applyFont="1" applyAlignment="1">
      <alignment horizontal="right"/>
    </xf>
    <xf numFmtId="0" fontId="1" fillId="0" borderId="1" xfId="0" applyFont="1" applyBorder="1"/>
    <xf numFmtId="0" fontId="0" fillId="0" borderId="0" xfId="0" applyBorder="1"/>
    <xf numFmtId="167" fontId="0" fillId="0" borderId="0" xfId="0" applyNumberFormat="1" applyAlignment="1">
      <alignment horizontal="center"/>
    </xf>
    <xf numFmtId="165" fontId="0" fillId="0" borderId="2" xfId="0" applyNumberFormat="1" applyBorder="1" applyAlignment="1">
      <alignment horizontal="center"/>
    </xf>
    <xf numFmtId="165" fontId="0" fillId="0" borderId="9" xfId="0" applyNumberFormat="1" applyBorder="1" applyAlignment="1">
      <alignment horizontal="center"/>
    </xf>
    <xf numFmtId="165" fontId="0" fillId="0" borderId="10" xfId="0" applyNumberFormat="1" applyBorder="1" applyAlignment="1">
      <alignment horizontal="center"/>
    </xf>
    <xf numFmtId="166" fontId="0" fillId="0" borderId="2" xfId="0" applyNumberFormat="1" applyBorder="1" applyAlignment="1">
      <alignment horizontal="center"/>
    </xf>
    <xf numFmtId="166" fontId="0" fillId="0" borderId="9" xfId="0" applyNumberFormat="1" applyBorder="1" applyAlignment="1">
      <alignment horizontal="center"/>
    </xf>
    <xf numFmtId="166" fontId="0" fillId="0" borderId="10" xfId="0" applyNumberFormat="1" applyBorder="1" applyAlignment="1">
      <alignment horizontal="center"/>
    </xf>
    <xf numFmtId="1" fontId="0" fillId="0" borderId="0" xfId="0" applyNumberFormat="1"/>
    <xf numFmtId="1" fontId="1" fillId="0" borderId="0" xfId="0" applyNumberFormat="1" applyFont="1" applyAlignment="1">
      <alignment horizontal="center"/>
    </xf>
    <xf numFmtId="165" fontId="0" fillId="0" borderId="2" xfId="0" applyNumberFormat="1" applyFont="1" applyBorder="1" applyAlignment="1">
      <alignment horizontal="center"/>
    </xf>
    <xf numFmtId="165" fontId="0" fillId="0" borderId="9" xfId="0" applyNumberFormat="1" applyFont="1" applyBorder="1" applyAlignment="1">
      <alignment horizontal="center"/>
    </xf>
    <xf numFmtId="165" fontId="0" fillId="0" borderId="10" xfId="0" applyNumberFormat="1" applyFont="1" applyBorder="1" applyAlignment="1">
      <alignment horizontal="center"/>
    </xf>
    <xf numFmtId="166" fontId="1" fillId="0" borderId="1" xfId="0" applyNumberFormat="1" applyFont="1" applyBorder="1" applyAlignment="1">
      <alignment horizontal="center"/>
    </xf>
    <xf numFmtId="166" fontId="0" fillId="0" borderId="0" xfId="0" applyNumberFormat="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 fontId="1" fillId="0" borderId="1" xfId="0" applyNumberFormat="1" applyFont="1" applyBorder="1" applyAlignment="1">
      <alignment horizontal="center"/>
    </xf>
    <xf numFmtId="166" fontId="0" fillId="0" borderId="3" xfId="0" applyNumberFormat="1" applyBorder="1" applyAlignment="1">
      <alignment horizontal="center"/>
    </xf>
    <xf numFmtId="166" fontId="0" fillId="0" borderId="11" xfId="0" applyNumberFormat="1" applyBorder="1" applyAlignment="1">
      <alignment horizontal="center"/>
    </xf>
    <xf numFmtId="166" fontId="0" fillId="0" borderId="4" xfId="0" applyNumberFormat="1" applyBorder="1" applyAlignment="1">
      <alignment horizontal="center"/>
    </xf>
    <xf numFmtId="166" fontId="0" fillId="0" borderId="12" xfId="0" applyNumberFormat="1" applyBorder="1" applyAlignment="1">
      <alignment horizontal="center"/>
    </xf>
    <xf numFmtId="166" fontId="0" fillId="0" borderId="0" xfId="0" applyNumberFormat="1" applyBorder="1" applyAlignment="1">
      <alignment horizontal="center"/>
    </xf>
    <xf numFmtId="166" fontId="0" fillId="0" borderId="13" xfId="0" applyNumberFormat="1" applyBorder="1" applyAlignment="1">
      <alignment horizontal="center"/>
    </xf>
    <xf numFmtId="166" fontId="0" fillId="0" borderId="5" xfId="0" applyNumberFormat="1" applyBorder="1" applyAlignment="1">
      <alignment horizontal="center"/>
    </xf>
    <xf numFmtId="166" fontId="0" fillId="0" borderId="14" xfId="0" applyNumberFormat="1" applyBorder="1" applyAlignment="1">
      <alignment horizontal="center"/>
    </xf>
    <xf numFmtId="166" fontId="0" fillId="0" borderId="6" xfId="0" applyNumberFormat="1" applyBorder="1" applyAlignment="1">
      <alignment horizontal="center"/>
    </xf>
    <xf numFmtId="165" fontId="0" fillId="0" borderId="0" xfId="0" applyNumberFormat="1"/>
    <xf numFmtId="0" fontId="1" fillId="3" borderId="1" xfId="0" applyFont="1" applyFill="1" applyBorder="1" applyAlignment="1">
      <alignment horizontal="center"/>
    </xf>
    <xf numFmtId="166" fontId="0" fillId="0" borderId="3" xfId="0" applyNumberFormat="1" applyBorder="1"/>
    <xf numFmtId="166" fontId="0" fillId="0" borderId="11" xfId="0" applyNumberFormat="1" applyBorder="1"/>
    <xf numFmtId="166" fontId="0" fillId="0" borderId="4" xfId="0" applyNumberFormat="1" applyBorder="1"/>
    <xf numFmtId="166" fontId="0" fillId="0" borderId="12" xfId="0" applyNumberFormat="1" applyBorder="1"/>
    <xf numFmtId="166" fontId="0" fillId="0" borderId="0" xfId="0" applyNumberFormat="1" applyBorder="1"/>
    <xf numFmtId="166" fontId="0" fillId="0" borderId="13" xfId="0" applyNumberFormat="1" applyBorder="1"/>
    <xf numFmtId="166" fontId="0" fillId="0" borderId="5" xfId="0" applyNumberFormat="1" applyBorder="1"/>
    <xf numFmtId="166" fontId="0" fillId="0" borderId="14" xfId="0" applyNumberFormat="1" applyBorder="1"/>
    <xf numFmtId="166" fontId="0" fillId="0" borderId="6" xfId="0" applyNumberFormat="1" applyBorder="1"/>
    <xf numFmtId="166" fontId="0" fillId="0" borderId="0" xfId="0" applyNumberFormat="1"/>
    <xf numFmtId="166" fontId="1" fillId="0" borderId="0" xfId="0" applyNumberFormat="1" applyFont="1" applyAlignment="1">
      <alignment horizontal="center"/>
    </xf>
    <xf numFmtId="1" fontId="0" fillId="0" borderId="0" xfId="0" applyNumberFormat="1" applyFill="1" applyBorder="1"/>
    <xf numFmtId="2" fontId="0" fillId="0" borderId="3"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1" fontId="0" fillId="0" borderId="0" xfId="0" applyNumberFormat="1" applyBorder="1" applyAlignment="1">
      <alignment horizontal="center"/>
    </xf>
    <xf numFmtId="1" fontId="0" fillId="0" borderId="13" xfId="0" applyNumberFormat="1" applyBorder="1" applyAlignment="1">
      <alignment horizontal="center"/>
    </xf>
    <xf numFmtId="1" fontId="0" fillId="0" borderId="5" xfId="0" applyNumberFormat="1" applyBorder="1" applyAlignment="1">
      <alignment horizontal="center"/>
    </xf>
    <xf numFmtId="1" fontId="0" fillId="0" borderId="14" xfId="0" applyNumberFormat="1" applyBorder="1" applyAlignment="1">
      <alignment horizontal="center"/>
    </xf>
    <xf numFmtId="1" fontId="0" fillId="0" borderId="0" xfId="0" applyNumberFormat="1" applyFill="1" applyBorder="1" applyAlignment="1">
      <alignment horizontal="center"/>
    </xf>
    <xf numFmtId="167" fontId="0" fillId="0" borderId="0" xfId="0" applyNumberFormat="1" applyFill="1" applyBorder="1" applyAlignment="1">
      <alignment horizontal="center"/>
    </xf>
    <xf numFmtId="164" fontId="0" fillId="0" borderId="0" xfId="0" applyNumberFormat="1" applyAlignment="1">
      <alignment horizontal="center"/>
    </xf>
    <xf numFmtId="0" fontId="0" fillId="0" borderId="0" xfId="0" applyProtection="1"/>
    <xf numFmtId="0" fontId="1" fillId="0" borderId="0" xfId="0" applyFont="1" applyProtection="1"/>
    <xf numFmtId="0" fontId="0" fillId="0" borderId="0" xfId="0" applyFont="1" applyAlignment="1" applyProtection="1">
      <alignment horizontal="center"/>
    </xf>
    <xf numFmtId="0" fontId="1" fillId="0" borderId="1" xfId="0" applyFont="1" applyBorder="1" applyAlignment="1" applyProtection="1">
      <alignment horizontal="center"/>
    </xf>
    <xf numFmtId="0" fontId="1" fillId="0" borderId="7" xfId="0" applyFont="1" applyBorder="1" applyAlignment="1" applyProtection="1">
      <alignment horizontal="center"/>
    </xf>
    <xf numFmtId="0" fontId="0" fillId="0" borderId="0" xfId="0" applyAlignment="1" applyProtection="1">
      <alignment horizontal="center"/>
    </xf>
    <xf numFmtId="165" fontId="0" fillId="0" borderId="3"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4" xfId="0" applyNumberFormat="1" applyBorder="1" applyAlignment="1" applyProtection="1">
      <alignment horizontal="center"/>
    </xf>
    <xf numFmtId="165" fontId="0" fillId="0" borderId="12" xfId="0" applyNumberFormat="1" applyBorder="1" applyAlignment="1" applyProtection="1">
      <alignment horizontal="center"/>
    </xf>
    <xf numFmtId="165" fontId="0" fillId="0" borderId="0" xfId="0" applyNumberFormat="1" applyBorder="1" applyAlignment="1" applyProtection="1">
      <alignment horizontal="center"/>
    </xf>
    <xf numFmtId="165" fontId="0" fillId="0" borderId="13" xfId="0" applyNumberFormat="1" applyBorder="1" applyAlignment="1" applyProtection="1">
      <alignment horizontal="center"/>
    </xf>
    <xf numFmtId="165" fontId="0" fillId="0" borderId="5" xfId="0" applyNumberFormat="1" applyBorder="1" applyAlignment="1" applyProtection="1">
      <alignment horizontal="center"/>
    </xf>
    <xf numFmtId="165" fontId="0" fillId="0" borderId="14" xfId="0" applyNumberFormat="1" applyBorder="1" applyAlignment="1" applyProtection="1">
      <alignment horizontal="center"/>
    </xf>
    <xf numFmtId="165" fontId="0" fillId="0" borderId="6" xfId="0" applyNumberFormat="1" applyBorder="1" applyAlignment="1" applyProtection="1">
      <alignment horizontal="center"/>
    </xf>
    <xf numFmtId="0" fontId="0" fillId="0" borderId="0" xfId="0" applyFill="1" applyProtection="1"/>
    <xf numFmtId="0" fontId="1" fillId="0" borderId="0" xfId="0" applyFont="1" applyAlignment="1" applyProtection="1">
      <alignment horizontal="center"/>
    </xf>
    <xf numFmtId="0" fontId="5" fillId="0" borderId="0" xfId="0" applyFont="1"/>
    <xf numFmtId="0" fontId="1" fillId="0" borderId="3" xfId="0" applyFont="1" applyBorder="1" applyAlignment="1">
      <alignment horizontal="center"/>
    </xf>
    <xf numFmtId="2" fontId="0" fillId="0" borderId="0" xfId="0" applyNumberFormat="1" applyBorder="1" applyAlignment="1">
      <alignment horizontal="center"/>
    </xf>
    <xf numFmtId="166" fontId="0" fillId="0" borderId="0" xfId="0" applyNumberFormat="1" applyFill="1" applyBorder="1" applyAlignment="1">
      <alignment horizontal="center"/>
    </xf>
    <xf numFmtId="0" fontId="1" fillId="0" borderId="2" xfId="0" applyFont="1" applyBorder="1" applyAlignment="1">
      <alignment horizontal="center"/>
    </xf>
    <xf numFmtId="166" fontId="1" fillId="0" borderId="3" xfId="0" applyNumberFormat="1" applyFont="1" applyBorder="1" applyAlignment="1">
      <alignment horizontal="center"/>
    </xf>
    <xf numFmtId="1" fontId="0" fillId="0" borderId="0" xfId="0" applyNumberFormat="1" applyFill="1" applyBorder="1" applyAlignment="1">
      <alignment horizontal="right"/>
    </xf>
    <xf numFmtId="0" fontId="1" fillId="0" borderId="0" xfId="0" applyFont="1" applyBorder="1"/>
    <xf numFmtId="166" fontId="1" fillId="0" borderId="0" xfId="0" applyNumberFormat="1" applyFont="1" applyBorder="1" applyAlignment="1">
      <alignment horizontal="center"/>
    </xf>
    <xf numFmtId="0" fontId="0" fillId="0" borderId="14" xfId="0" applyBorder="1" applyAlignment="1">
      <alignment horizontal="center"/>
    </xf>
    <xf numFmtId="1" fontId="1" fillId="0" borderId="1" xfId="0" applyNumberFormat="1" applyFont="1" applyFill="1" applyBorder="1" applyAlignment="1">
      <alignment horizontal="center"/>
    </xf>
    <xf numFmtId="0" fontId="3" fillId="0" borderId="0" xfId="0" applyFont="1" applyAlignment="1">
      <alignment horizontal="left"/>
    </xf>
    <xf numFmtId="166" fontId="5" fillId="0" borderId="0" xfId="0" applyNumberFormat="1" applyFont="1" applyAlignment="1">
      <alignment horizontal="center"/>
    </xf>
    <xf numFmtId="166" fontId="6" fillId="0" borderId="0" xfId="0" applyNumberFormat="1" applyFont="1" applyAlignment="1">
      <alignment horizontal="center"/>
    </xf>
    <xf numFmtId="0" fontId="1" fillId="3" borderId="1" xfId="0" applyFont="1" applyFill="1" applyBorder="1"/>
    <xf numFmtId="0" fontId="7" fillId="0" borderId="0" xfId="0" applyFont="1"/>
    <xf numFmtId="0" fontId="7" fillId="0" borderId="0" xfId="0" applyFont="1" applyAlignment="1">
      <alignment horizontal="center"/>
    </xf>
    <xf numFmtId="2" fontId="8" fillId="0" borderId="9"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167" fontId="0" fillId="0" borderId="4" xfId="0" applyNumberFormat="1" applyBorder="1" applyAlignment="1" applyProtection="1">
      <alignment horizontal="center"/>
    </xf>
    <xf numFmtId="167" fontId="0" fillId="0" borderId="12" xfId="0" applyNumberFormat="1" applyBorder="1" applyAlignment="1" applyProtection="1">
      <alignment horizontal="center"/>
    </xf>
    <xf numFmtId="167" fontId="0" fillId="0" borderId="13" xfId="0" applyNumberFormat="1" applyBorder="1" applyAlignment="1" applyProtection="1">
      <alignment horizontal="center"/>
    </xf>
    <xf numFmtId="166" fontId="0" fillId="0" borderId="0" xfId="0" applyNumberFormat="1" applyAlignment="1" applyProtection="1">
      <alignment horizontal="center"/>
    </xf>
    <xf numFmtId="167" fontId="0" fillId="0" borderId="5" xfId="0" applyNumberFormat="1" applyBorder="1" applyAlignment="1" applyProtection="1">
      <alignment horizontal="center"/>
    </xf>
    <xf numFmtId="166" fontId="0" fillId="0" borderId="3" xfId="0" applyNumberFormat="1" applyBorder="1" applyAlignment="1" applyProtection="1">
      <alignment horizontal="center"/>
    </xf>
    <xf numFmtId="166" fontId="0" fillId="0" borderId="4" xfId="0" applyNumberFormat="1" applyBorder="1" applyAlignment="1" applyProtection="1">
      <alignment horizontal="center"/>
    </xf>
    <xf numFmtId="166" fontId="0" fillId="0" borderId="12" xfId="0" applyNumberFormat="1" applyBorder="1" applyAlignment="1" applyProtection="1">
      <alignment horizontal="center"/>
    </xf>
    <xf numFmtId="166" fontId="0" fillId="0" borderId="13" xfId="0" applyNumberFormat="1" applyBorder="1" applyAlignment="1" applyProtection="1">
      <alignment horizontal="center"/>
    </xf>
    <xf numFmtId="166" fontId="0" fillId="0" borderId="5" xfId="0" applyNumberFormat="1" applyBorder="1" applyAlignment="1" applyProtection="1">
      <alignment horizontal="center"/>
    </xf>
    <xf numFmtId="166" fontId="0" fillId="0" borderId="6" xfId="0" applyNumberFormat="1" applyBorder="1" applyAlignment="1" applyProtection="1">
      <alignment horizontal="center"/>
    </xf>
    <xf numFmtId="167" fontId="0" fillId="0" borderId="0" xfId="0" applyNumberFormat="1" applyAlignment="1" applyProtection="1">
      <alignment horizontal="center"/>
    </xf>
    <xf numFmtId="2" fontId="8" fillId="2" borderId="10" xfId="0" applyNumberFormat="1" applyFont="1" applyFill="1" applyBorder="1" applyAlignment="1">
      <alignment horizontal="center" vertical="center"/>
    </xf>
    <xf numFmtId="2" fontId="8" fillId="2" borderId="5" xfId="0" applyNumberFormat="1" applyFont="1" applyFill="1" applyBorder="1" applyAlignment="1">
      <alignment horizontal="center" vertical="center"/>
    </xf>
    <xf numFmtId="2" fontId="8" fillId="2" borderId="16"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167" fontId="0" fillId="0" borderId="2" xfId="0" applyNumberFormat="1" applyBorder="1" applyAlignment="1">
      <alignment horizontal="center"/>
    </xf>
    <xf numFmtId="167" fontId="0" fillId="0" borderId="9" xfId="0" applyNumberFormat="1" applyBorder="1" applyAlignment="1">
      <alignment horizontal="center"/>
    </xf>
    <xf numFmtId="167" fontId="0" fillId="0" borderId="10" xfId="0" applyNumberForma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14" xfId="0" applyFont="1" applyBorder="1" applyAlignment="1">
      <alignment horizontal="center"/>
    </xf>
    <xf numFmtId="0" fontId="10" fillId="0" borderId="1" xfId="0" applyFont="1" applyBorder="1" applyAlignment="1" applyProtection="1">
      <alignment horizontal="center"/>
    </xf>
    <xf numFmtId="167" fontId="0" fillId="0" borderId="2" xfId="0" applyNumberFormat="1" applyBorder="1" applyAlignment="1" applyProtection="1">
      <alignment horizontal="center"/>
    </xf>
    <xf numFmtId="167" fontId="0" fillId="0" borderId="9" xfId="0" applyNumberFormat="1" applyBorder="1" applyAlignment="1" applyProtection="1">
      <alignment horizontal="center"/>
    </xf>
    <xf numFmtId="167" fontId="0" fillId="0" borderId="10" xfId="0" applyNumberFormat="1" applyBorder="1" applyAlignment="1" applyProtection="1">
      <alignment horizontal="center"/>
    </xf>
    <xf numFmtId="0" fontId="0" fillId="0" borderId="1" xfId="0" applyBorder="1" applyAlignment="1" applyProtection="1">
      <alignment horizontal="center"/>
    </xf>
    <xf numFmtId="1" fontId="0" fillId="0" borderId="1" xfId="0" applyNumberFormat="1" applyBorder="1" applyAlignment="1" applyProtection="1">
      <alignment horizontal="center"/>
    </xf>
    <xf numFmtId="1" fontId="1" fillId="0" borderId="0" xfId="0" applyNumberFormat="1" applyFont="1" applyAlignment="1" applyProtection="1">
      <alignment horizontal="center"/>
    </xf>
    <xf numFmtId="166"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0" fontId="0" fillId="0" borderId="0" xfId="0" applyBorder="1" applyProtection="1"/>
    <xf numFmtId="166" fontId="0" fillId="0" borderId="15" xfId="0" applyNumberFormat="1" applyBorder="1" applyAlignment="1" applyProtection="1">
      <alignment horizontal="center"/>
    </xf>
    <xf numFmtId="166" fontId="0" fillId="0" borderId="8" xfId="0" applyNumberFormat="1" applyBorder="1" applyAlignment="1" applyProtection="1">
      <alignment horizontal="center"/>
    </xf>
    <xf numFmtId="166" fontId="0" fillId="0" borderId="7" xfId="0" applyNumberFormat="1" applyBorder="1" applyAlignment="1" applyProtection="1">
      <alignment horizontal="center"/>
    </xf>
    <xf numFmtId="0" fontId="6" fillId="0" borderId="0" xfId="0" applyFont="1" applyAlignment="1" applyProtection="1">
      <alignment horizontal="center"/>
    </xf>
    <xf numFmtId="167" fontId="0" fillId="0" borderId="11" xfId="0" applyNumberFormat="1" applyBorder="1" applyAlignment="1" applyProtection="1">
      <alignment horizontal="center"/>
    </xf>
    <xf numFmtId="167" fontId="0" fillId="0" borderId="14" xfId="0" applyNumberFormat="1" applyBorder="1" applyAlignment="1" applyProtection="1">
      <alignment horizontal="center"/>
    </xf>
    <xf numFmtId="166" fontId="0" fillId="0" borderId="11" xfId="0" applyNumberFormat="1" applyBorder="1" applyAlignment="1" applyProtection="1">
      <alignment horizontal="center"/>
    </xf>
    <xf numFmtId="166" fontId="0" fillId="0" borderId="14" xfId="0" applyNumberFormat="1" applyBorder="1" applyAlignment="1" applyProtection="1">
      <alignment horizontal="center"/>
    </xf>
    <xf numFmtId="167" fontId="0" fillId="0" borderId="0" xfId="0" applyNumberFormat="1" applyProtection="1"/>
    <xf numFmtId="166" fontId="0" fillId="0" borderId="1" xfId="0" applyNumberFormat="1" applyBorder="1" applyAlignment="1" applyProtection="1">
      <alignment horizontal="center"/>
    </xf>
    <xf numFmtId="165" fontId="1" fillId="0" borderId="0" xfId="0" applyNumberFormat="1" applyFont="1" applyFill="1" applyBorder="1" applyAlignment="1" applyProtection="1">
      <alignment horizontal="left"/>
    </xf>
    <xf numFmtId="165" fontId="0" fillId="0" borderId="3" xfId="0" applyNumberFormat="1" applyFill="1" applyBorder="1" applyAlignment="1" applyProtection="1">
      <alignment horizontal="center"/>
    </xf>
    <xf numFmtId="165" fontId="0" fillId="0" borderId="12" xfId="0" applyNumberFormat="1" applyFill="1" applyBorder="1" applyAlignment="1" applyProtection="1">
      <alignment horizontal="center"/>
    </xf>
    <xf numFmtId="165" fontId="0" fillId="0" borderId="5" xfId="0" applyNumberFormat="1" applyFill="1" applyBorder="1" applyAlignment="1" applyProtection="1">
      <alignment horizontal="center"/>
    </xf>
    <xf numFmtId="165" fontId="1" fillId="0" borderId="0" xfId="0" applyNumberFormat="1" applyFont="1" applyBorder="1" applyAlignment="1" applyProtection="1">
      <alignment horizontal="center"/>
    </xf>
    <xf numFmtId="0" fontId="0" fillId="0" borderId="10" xfId="0" applyBorder="1"/>
    <xf numFmtId="168" fontId="1" fillId="0" borderId="2" xfId="0" applyNumberFormat="1" applyFont="1" applyBorder="1" applyAlignment="1" applyProtection="1">
      <alignment horizontal="center"/>
    </xf>
    <xf numFmtId="168" fontId="1" fillId="0" borderId="9" xfId="0" applyNumberFormat="1" applyFont="1" applyBorder="1" applyAlignment="1" applyProtection="1">
      <alignment horizontal="center"/>
    </xf>
    <xf numFmtId="168" fontId="1" fillId="0" borderId="10" xfId="0" applyNumberFormat="1" applyFont="1" applyBorder="1" applyAlignment="1" applyProtection="1">
      <alignment horizontal="center"/>
    </xf>
    <xf numFmtId="164" fontId="0" fillId="0" borderId="0" xfId="0" applyNumberFormat="1" applyFill="1" applyBorder="1" applyAlignment="1">
      <alignment horizontal="center"/>
    </xf>
    <xf numFmtId="2" fontId="0" fillId="0" borderId="0" xfId="0" applyNumberFormat="1" applyFill="1" applyBorder="1" applyAlignment="1">
      <alignment horizontal="center"/>
    </xf>
    <xf numFmtId="166" fontId="0" fillId="0" borderId="0" xfId="0" applyNumberFormat="1" applyProtection="1"/>
    <xf numFmtId="166" fontId="0" fillId="0" borderId="0" xfId="0" applyNumberFormat="1" applyBorder="1" applyProtection="1"/>
    <xf numFmtId="166" fontId="0" fillId="0" borderId="3" xfId="0" applyNumberFormat="1" applyBorder="1" applyProtection="1"/>
    <xf numFmtId="166" fontId="0" fillId="0" borderId="11" xfId="0" applyNumberFormat="1" applyBorder="1" applyProtection="1"/>
    <xf numFmtId="166" fontId="0" fillId="0" borderId="4" xfId="0" applyNumberFormat="1" applyBorder="1" applyProtection="1"/>
    <xf numFmtId="166" fontId="0" fillId="0" borderId="12" xfId="0" applyNumberFormat="1" applyBorder="1" applyProtection="1"/>
    <xf numFmtId="166" fontId="0" fillId="0" borderId="13" xfId="0" applyNumberFormat="1" applyBorder="1" applyProtection="1"/>
    <xf numFmtId="166" fontId="0" fillId="0" borderId="5" xfId="0" applyNumberFormat="1" applyBorder="1" applyProtection="1"/>
    <xf numFmtId="166" fontId="0" fillId="0" borderId="14" xfId="0" applyNumberFormat="1" applyBorder="1" applyProtection="1"/>
    <xf numFmtId="166" fontId="0" fillId="0" borderId="6" xfId="0" applyNumberFormat="1" applyBorder="1" applyProtection="1"/>
    <xf numFmtId="167" fontId="0" fillId="0" borderId="1" xfId="0" applyNumberFormat="1" applyBorder="1" applyAlignment="1" applyProtection="1">
      <alignment horizontal="center"/>
    </xf>
    <xf numFmtId="1" fontId="0" fillId="0" borderId="15" xfId="0" applyNumberFormat="1" applyBorder="1" applyAlignment="1" applyProtection="1">
      <alignment horizontal="center"/>
    </xf>
    <xf numFmtId="1" fontId="0" fillId="0" borderId="8" xfId="0" applyNumberFormat="1" applyBorder="1" applyAlignment="1" applyProtection="1">
      <alignment horizontal="center"/>
    </xf>
    <xf numFmtId="1" fontId="0" fillId="0" borderId="7" xfId="0" applyNumberFormat="1" applyBorder="1" applyAlignment="1" applyProtection="1">
      <alignment horizontal="center"/>
    </xf>
    <xf numFmtId="1" fontId="0" fillId="0" borderId="0" xfId="0" applyNumberFormat="1" applyAlignment="1" applyProtection="1">
      <alignment horizontal="center"/>
    </xf>
    <xf numFmtId="0" fontId="0" fillId="0" borderId="11"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0" fillId="0" borderId="4" xfId="0" applyBorder="1"/>
    <xf numFmtId="0" fontId="0" fillId="0" borderId="11" xfId="0" applyBorder="1"/>
    <xf numFmtId="166" fontId="1" fillId="0" borderId="7" xfId="0" applyNumberFormat="1" applyFont="1" applyBorder="1" applyAlignment="1">
      <alignment horizontal="center"/>
    </xf>
    <xf numFmtId="0" fontId="0" fillId="0" borderId="10" xfId="0"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0" fontId="0" fillId="0" borderId="13" xfId="0" applyBorder="1" applyAlignment="1">
      <alignment horizontal="center"/>
    </xf>
    <xf numFmtId="167" fontId="0" fillId="0" borderId="1" xfId="0" applyNumberFormat="1" applyBorder="1" applyAlignment="1">
      <alignment horizontal="center"/>
    </xf>
    <xf numFmtId="167" fontId="0" fillId="0" borderId="1" xfId="0" applyNumberFormat="1" applyFill="1" applyBorder="1" applyAlignment="1">
      <alignment horizontal="center"/>
    </xf>
    <xf numFmtId="166" fontId="0" fillId="0" borderId="2" xfId="0" applyNumberFormat="1" applyBorder="1" applyAlignment="1" applyProtection="1">
      <alignment horizontal="center"/>
    </xf>
    <xf numFmtId="166" fontId="0" fillId="0" borderId="9" xfId="0" applyNumberFormat="1" applyBorder="1" applyAlignment="1" applyProtection="1">
      <alignment horizontal="center"/>
    </xf>
    <xf numFmtId="166" fontId="0" fillId="0" borderId="10" xfId="0" applyNumberFormat="1" applyBorder="1" applyAlignment="1" applyProtection="1">
      <alignment horizontal="center"/>
    </xf>
    <xf numFmtId="166" fontId="0" fillId="0" borderId="9" xfId="0" applyNumberFormat="1" applyFill="1" applyBorder="1" applyAlignment="1">
      <alignment horizontal="center"/>
    </xf>
    <xf numFmtId="166" fontId="0" fillId="0" borderId="10" xfId="0" applyNumberFormat="1" applyFill="1" applyBorder="1" applyAlignment="1">
      <alignment horizontal="center"/>
    </xf>
    <xf numFmtId="0" fontId="3" fillId="0" borderId="0" xfId="0" applyFont="1" applyAlignment="1" applyProtection="1"/>
    <xf numFmtId="0" fontId="1" fillId="0" borderId="0" xfId="0" applyFont="1" applyBorder="1" applyProtection="1"/>
    <xf numFmtId="0" fontId="4" fillId="0" borderId="0" xfId="0" applyFont="1" applyAlignment="1" applyProtection="1">
      <alignment horizontal="left"/>
    </xf>
    <xf numFmtId="1" fontId="0" fillId="0" borderId="0" xfId="0" applyNumberFormat="1" applyFont="1" applyBorder="1" applyAlignment="1" applyProtection="1">
      <alignment horizontal="center"/>
    </xf>
    <xf numFmtId="168" fontId="4" fillId="0" borderId="0" xfId="0" applyNumberFormat="1" applyFont="1" applyBorder="1" applyAlignment="1" applyProtection="1">
      <alignment horizontal="left"/>
    </xf>
    <xf numFmtId="166" fontId="1" fillId="0" borderId="1" xfId="0" applyNumberFormat="1" applyFont="1" applyFill="1" applyBorder="1" applyAlignment="1" applyProtection="1">
      <alignment horizontal="center"/>
    </xf>
    <xf numFmtId="1" fontId="1" fillId="0" borderId="2" xfId="0" applyNumberFormat="1" applyFont="1" applyFill="1" applyBorder="1" applyAlignment="1" applyProtection="1">
      <alignment horizontal="center"/>
    </xf>
    <xf numFmtId="1" fontId="1" fillId="0" borderId="9" xfId="0" applyNumberFormat="1" applyFont="1" applyFill="1" applyBorder="1" applyAlignment="1" applyProtection="1">
      <alignment horizontal="center"/>
    </xf>
    <xf numFmtId="1" fontId="1" fillId="0" borderId="10" xfId="0" applyNumberFormat="1" applyFont="1" applyFill="1" applyBorder="1" applyAlignment="1" applyProtection="1">
      <alignment horizontal="center"/>
    </xf>
    <xf numFmtId="1" fontId="1" fillId="3" borderId="1" xfId="0" applyNumberFormat="1" applyFont="1" applyFill="1" applyBorder="1" applyAlignment="1">
      <alignment horizontal="center"/>
    </xf>
    <xf numFmtId="0" fontId="11" fillId="0" borderId="0" xfId="0" applyFont="1" applyProtection="1"/>
    <xf numFmtId="166" fontId="0" fillId="0" borderId="0" xfId="0" applyNumberFormat="1" applyFont="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alignment horizontal="center"/>
    </xf>
    <xf numFmtId="167" fontId="0" fillId="0" borderId="3" xfId="0" applyNumberFormat="1" applyBorder="1" applyAlignment="1" applyProtection="1">
      <alignment horizontal="center"/>
    </xf>
    <xf numFmtId="167" fontId="0" fillId="0" borderId="6" xfId="0" applyNumberFormat="1" applyBorder="1" applyAlignment="1" applyProtection="1">
      <alignment horizontal="center"/>
    </xf>
    <xf numFmtId="166" fontId="0" fillId="0" borderId="0" xfId="0" applyNumberFormat="1" applyFont="1" applyFill="1" applyBorder="1" applyAlignment="1" applyProtection="1">
      <alignment horizontal="center"/>
    </xf>
    <xf numFmtId="166" fontId="0" fillId="0" borderId="0" xfId="0" applyNumberFormat="1" applyFill="1" applyBorder="1" applyAlignment="1" applyProtection="1">
      <alignment horizontal="center"/>
    </xf>
    <xf numFmtId="165" fontId="4" fillId="3" borderId="24" xfId="0" applyNumberFormat="1" applyFont="1" applyFill="1" applyBorder="1" applyAlignment="1" applyProtection="1">
      <alignment horizontal="center" vertical="center"/>
    </xf>
    <xf numFmtId="167" fontId="4" fillId="3" borderId="24" xfId="0" applyNumberFormat="1" applyFont="1" applyFill="1" applyBorder="1" applyAlignment="1" applyProtection="1">
      <alignment horizontal="center" vertical="center"/>
    </xf>
    <xf numFmtId="167" fontId="1" fillId="2" borderId="0" xfId="0" applyNumberFormat="1" applyFont="1" applyFill="1" applyBorder="1" applyAlignment="1" applyProtection="1">
      <alignment horizontal="center" vertical="center"/>
      <protection locked="0"/>
    </xf>
    <xf numFmtId="167" fontId="4" fillId="3" borderId="30" xfId="0" applyNumberFormat="1" applyFont="1" applyFill="1" applyBorder="1" applyAlignment="1" applyProtection="1">
      <alignment horizontal="center" vertical="center"/>
    </xf>
    <xf numFmtId="167" fontId="4" fillId="3" borderId="0" xfId="0" applyNumberFormat="1" applyFont="1" applyFill="1" applyBorder="1" applyAlignment="1" applyProtection="1">
      <alignment horizontal="center" vertical="center"/>
    </xf>
    <xf numFmtId="167" fontId="4" fillId="3" borderId="16" xfId="0" applyNumberFormat="1"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167" fontId="4" fillId="3" borderId="26" xfId="0" applyNumberFormat="1" applyFont="1" applyFill="1" applyBorder="1" applyAlignment="1" applyProtection="1">
      <alignment horizontal="center" vertical="center"/>
    </xf>
    <xf numFmtId="165" fontId="1" fillId="2" borderId="24" xfId="0" applyNumberFormat="1" applyFont="1" applyFill="1" applyBorder="1" applyAlignment="1" applyProtection="1">
      <alignment horizontal="center" vertical="center"/>
      <protection locked="0"/>
    </xf>
    <xf numFmtId="165" fontId="1" fillId="2" borderId="22" xfId="0" applyNumberFormat="1" applyFont="1" applyFill="1" applyBorder="1" applyAlignment="1" applyProtection="1">
      <alignment horizontal="center" vertical="center"/>
      <protection locked="0"/>
    </xf>
    <xf numFmtId="165" fontId="1" fillId="2" borderId="36" xfId="0" applyNumberFormat="1" applyFont="1" applyFill="1" applyBorder="1" applyAlignment="1" applyProtection="1">
      <alignment horizontal="center" vertical="center"/>
      <protection locked="0"/>
    </xf>
    <xf numFmtId="165" fontId="1" fillId="2" borderId="37" xfId="0" applyNumberFormat="1" applyFont="1" applyFill="1" applyBorder="1" applyAlignment="1" applyProtection="1">
      <alignment horizontal="center" vertical="center"/>
      <protection locked="0"/>
    </xf>
    <xf numFmtId="165" fontId="1" fillId="2" borderId="39" xfId="0" applyNumberFormat="1" applyFont="1" applyFill="1" applyBorder="1" applyAlignment="1" applyProtection="1">
      <alignment horizontal="center" vertical="center"/>
      <protection locked="0"/>
    </xf>
    <xf numFmtId="165" fontId="1" fillId="2" borderId="23" xfId="0" applyNumberFormat="1" applyFont="1" applyFill="1" applyBorder="1" applyAlignment="1" applyProtection="1">
      <alignment horizontal="center" vertical="center"/>
      <protection locked="0"/>
    </xf>
    <xf numFmtId="165" fontId="1" fillId="2" borderId="25" xfId="0" applyNumberFormat="1" applyFont="1" applyFill="1" applyBorder="1" applyAlignment="1" applyProtection="1">
      <alignment horizontal="center" vertical="center"/>
      <protection locked="0"/>
    </xf>
    <xf numFmtId="165" fontId="1" fillId="2" borderId="26" xfId="0" applyNumberFormat="1" applyFont="1" applyFill="1" applyBorder="1" applyAlignment="1" applyProtection="1">
      <alignment horizontal="center" vertical="center"/>
      <protection locked="0"/>
    </xf>
    <xf numFmtId="165" fontId="1" fillId="2" borderId="16" xfId="0" applyNumberFormat="1" applyFont="1" applyFill="1" applyBorder="1" applyAlignment="1" applyProtection="1">
      <alignment horizontal="center" vertical="center"/>
      <protection locked="0"/>
    </xf>
    <xf numFmtId="167" fontId="1" fillId="2" borderId="27" xfId="0" applyNumberFormat="1" applyFont="1" applyFill="1" applyBorder="1" applyAlignment="1" applyProtection="1">
      <alignment horizontal="center" vertical="center"/>
      <protection locked="0"/>
    </xf>
    <xf numFmtId="167" fontId="1" fillId="2" borderId="28" xfId="0" applyNumberFormat="1" applyFont="1" applyFill="1" applyBorder="1" applyAlignment="1" applyProtection="1">
      <alignment horizontal="center" vertical="center"/>
      <protection locked="0"/>
    </xf>
    <xf numFmtId="167" fontId="1" fillId="2" borderId="29" xfId="0" applyNumberFormat="1" applyFont="1" applyFill="1" applyBorder="1" applyAlignment="1" applyProtection="1">
      <alignment horizontal="center" vertical="center"/>
      <protection locked="0"/>
    </xf>
    <xf numFmtId="167" fontId="1" fillId="2" borderId="30" xfId="0" applyNumberFormat="1" applyFont="1" applyFill="1" applyBorder="1" applyAlignment="1" applyProtection="1">
      <alignment horizontal="center" vertical="center"/>
      <protection locked="0"/>
    </xf>
    <xf numFmtId="167" fontId="1" fillId="2" borderId="31" xfId="0" applyNumberFormat="1" applyFont="1" applyFill="1" applyBorder="1" applyAlignment="1" applyProtection="1">
      <alignment horizontal="center" vertical="center"/>
      <protection locked="0"/>
    </xf>
    <xf numFmtId="167" fontId="1" fillId="2" borderId="20" xfId="0" applyNumberFormat="1" applyFont="1" applyFill="1" applyBorder="1" applyAlignment="1" applyProtection="1">
      <alignment horizontal="center" vertical="center"/>
      <protection locked="0"/>
    </xf>
    <xf numFmtId="167" fontId="1" fillId="2" borderId="21" xfId="0" applyNumberFormat="1" applyFont="1" applyFill="1" applyBorder="1" applyAlignment="1" applyProtection="1">
      <alignment horizontal="center" vertical="center"/>
      <protection locked="0"/>
    </xf>
    <xf numFmtId="167" fontId="1" fillId="2" borderId="32" xfId="0" applyNumberFormat="1" applyFont="1" applyFill="1" applyBorder="1" applyAlignment="1" applyProtection="1">
      <alignment horizontal="center" vertical="center"/>
      <protection locked="0"/>
    </xf>
    <xf numFmtId="165" fontId="1" fillId="2" borderId="16" xfId="0" applyNumberFormat="1" applyFont="1" applyFill="1" applyBorder="1" applyAlignment="1" applyProtection="1">
      <alignment horizontal="center" vertical="center" wrapText="1"/>
      <protection locked="0"/>
    </xf>
    <xf numFmtId="167" fontId="4" fillId="3" borderId="19" xfId="0" applyNumberFormat="1" applyFont="1" applyFill="1" applyBorder="1" applyAlignment="1" applyProtection="1">
      <alignment horizontal="center" vertical="center"/>
    </xf>
    <xf numFmtId="165" fontId="2" fillId="2" borderId="24" xfId="0" applyNumberFormat="1" applyFont="1" applyFill="1" applyBorder="1" applyAlignment="1" applyProtection="1">
      <alignment horizontal="center" vertical="center"/>
      <protection locked="0"/>
    </xf>
    <xf numFmtId="0" fontId="24" fillId="0" borderId="0" xfId="0" applyFont="1" applyFill="1" applyBorder="1" applyAlignment="1">
      <alignment horizontal="left" vertical="center"/>
    </xf>
    <xf numFmtId="0" fontId="0" fillId="6" borderId="0" xfId="0" applyFont="1" applyFill="1" applyBorder="1" applyAlignment="1">
      <alignment vertical="center"/>
    </xf>
    <xf numFmtId="0" fontId="0" fillId="6" borderId="13" xfId="0" applyFont="1" applyFill="1" applyBorder="1" applyAlignment="1">
      <alignment vertical="center"/>
    </xf>
    <xf numFmtId="0" fontId="0" fillId="7" borderId="0" xfId="0" applyFill="1" applyAlignment="1">
      <alignment vertical="center"/>
    </xf>
    <xf numFmtId="0" fontId="24" fillId="7" borderId="0" xfId="0" applyFont="1" applyFill="1" applyBorder="1" applyAlignment="1">
      <alignment horizontal="center" vertical="center"/>
    </xf>
    <xf numFmtId="0" fontId="2" fillId="7" borderId="0" xfId="0" applyFont="1" applyFill="1" applyAlignment="1">
      <alignment horizontal="center" vertical="center"/>
    </xf>
    <xf numFmtId="0" fontId="2" fillId="7" borderId="0" xfId="0" applyFont="1" applyFill="1" applyAlignment="1">
      <alignment horizontal="center"/>
    </xf>
    <xf numFmtId="0" fontId="19" fillId="7" borderId="0" xfId="0" applyFont="1" applyFill="1" applyAlignment="1"/>
    <xf numFmtId="0" fontId="0" fillId="7" borderId="0" xfId="0" applyFill="1" applyAlignment="1"/>
    <xf numFmtId="0" fontId="0" fillId="7" borderId="0" xfId="0" applyFont="1" applyFill="1" applyAlignment="1">
      <alignment vertical="center"/>
    </xf>
    <xf numFmtId="0" fontId="19" fillId="7" borderId="0" xfId="0" applyFont="1" applyFill="1" applyAlignment="1">
      <alignment vertical="center"/>
    </xf>
    <xf numFmtId="0" fontId="2" fillId="7" borderId="0" xfId="0" applyFont="1" applyFill="1" applyBorder="1" applyAlignment="1">
      <alignment horizontal="center" vertical="center"/>
    </xf>
    <xf numFmtId="0" fontId="1" fillId="7" borderId="0" xfId="0" applyFont="1" applyFill="1" applyAlignment="1">
      <alignment vertical="center"/>
    </xf>
    <xf numFmtId="0" fontId="1" fillId="7" borderId="0" xfId="0" applyFont="1" applyFill="1" applyBorder="1" applyAlignment="1" applyProtection="1">
      <alignment horizontal="right" vertical="center"/>
    </xf>
    <xf numFmtId="0" fontId="0" fillId="6" borderId="12" xfId="0" applyFont="1" applyFill="1" applyBorder="1" applyAlignment="1">
      <alignment vertical="center"/>
    </xf>
    <xf numFmtId="0" fontId="1" fillId="6" borderId="12" xfId="0" applyFont="1" applyFill="1" applyBorder="1" applyAlignment="1">
      <alignment vertical="center"/>
    </xf>
    <xf numFmtId="0" fontId="0" fillId="7" borderId="0" xfId="0" applyFill="1" applyAlignment="1" applyProtection="1">
      <alignment vertical="center"/>
    </xf>
    <xf numFmtId="0" fontId="0" fillId="7" borderId="0" xfId="0" applyFill="1" applyBorder="1" applyAlignment="1" applyProtection="1">
      <alignment vertical="center"/>
    </xf>
    <xf numFmtId="0" fontId="24" fillId="7" borderId="0" xfId="0" applyFont="1" applyFill="1" applyBorder="1" applyAlignment="1" applyProtection="1">
      <alignment horizontal="center" vertical="center"/>
    </xf>
    <xf numFmtId="0" fontId="20" fillId="7" borderId="0" xfId="0" applyFont="1" applyFill="1" applyBorder="1" applyAlignment="1" applyProtection="1">
      <alignment vertical="center"/>
    </xf>
    <xf numFmtId="0" fontId="0" fillId="7" borderId="0" xfId="0" applyFill="1" applyBorder="1" applyAlignment="1" applyProtection="1">
      <alignment horizontal="right" vertical="center"/>
    </xf>
    <xf numFmtId="0" fontId="0" fillId="7" borderId="0" xfId="0" applyFont="1" applyFill="1" applyBorder="1" applyAlignment="1" applyProtection="1">
      <alignment horizontal="center" vertical="center"/>
    </xf>
    <xf numFmtId="0" fontId="3" fillId="7" borderId="0" xfId="0" applyFont="1" applyFill="1" applyBorder="1" applyAlignment="1" applyProtection="1">
      <alignment vertical="center"/>
    </xf>
    <xf numFmtId="0" fontId="1" fillId="7" borderId="0" xfId="0" applyFont="1" applyFill="1" applyAlignment="1" applyProtection="1">
      <alignment vertical="center"/>
    </xf>
    <xf numFmtId="0" fontId="3" fillId="7" borderId="0" xfId="0" applyFont="1" applyFill="1" applyBorder="1" applyAlignment="1" applyProtection="1">
      <alignment horizontal="center" vertical="center"/>
    </xf>
    <xf numFmtId="0" fontId="1" fillId="7" borderId="0" xfId="0" applyFont="1" applyFill="1" applyBorder="1" applyAlignment="1" applyProtection="1">
      <alignment vertical="center"/>
    </xf>
    <xf numFmtId="165" fontId="0" fillId="7" borderId="0" xfId="0" applyNumberFormat="1" applyFill="1" applyAlignment="1" applyProtection="1">
      <alignment horizontal="center" vertical="center"/>
    </xf>
    <xf numFmtId="0" fontId="0" fillId="7" borderId="28" xfId="0" applyFill="1" applyBorder="1" applyAlignment="1" applyProtection="1">
      <alignment vertical="center"/>
    </xf>
    <xf numFmtId="0" fontId="0" fillId="7" borderId="29" xfId="0" applyFill="1" applyBorder="1" applyAlignment="1" applyProtection="1">
      <alignment vertical="center"/>
    </xf>
    <xf numFmtId="0" fontId="2" fillId="7" borderId="0" xfId="0" applyFont="1" applyFill="1" applyAlignment="1" applyProtection="1">
      <alignment vertical="center" wrapText="1"/>
    </xf>
    <xf numFmtId="165" fontId="1" fillId="7" borderId="30" xfId="0" applyNumberFormat="1" applyFont="1" applyFill="1" applyBorder="1" applyAlignment="1" applyProtection="1">
      <alignment horizontal="center" vertical="center"/>
    </xf>
    <xf numFmtId="0" fontId="0" fillId="7" borderId="31" xfId="0" applyFill="1" applyBorder="1" applyAlignment="1" applyProtection="1">
      <alignment vertical="center"/>
    </xf>
    <xf numFmtId="0" fontId="0" fillId="7" borderId="30" xfId="0" applyFill="1" applyBorder="1" applyAlignment="1" applyProtection="1">
      <alignment vertical="center"/>
    </xf>
    <xf numFmtId="165" fontId="4" fillId="7" borderId="0" xfId="0" applyNumberFormat="1" applyFont="1" applyFill="1" applyBorder="1" applyAlignment="1" applyProtection="1">
      <alignment horizontal="center" vertical="center"/>
    </xf>
    <xf numFmtId="165" fontId="1" fillId="7" borderId="20" xfId="0" applyNumberFormat="1" applyFont="1" applyFill="1" applyBorder="1" applyAlignment="1" applyProtection="1">
      <alignment horizontal="center" vertical="center"/>
    </xf>
    <xf numFmtId="0" fontId="1" fillId="7" borderId="21" xfId="0" applyFont="1" applyFill="1" applyBorder="1" applyAlignment="1" applyProtection="1">
      <alignment horizontal="right" vertical="center"/>
    </xf>
    <xf numFmtId="165" fontId="4" fillId="7" borderId="21" xfId="0" applyNumberFormat="1" applyFont="1" applyFill="1" applyBorder="1" applyAlignment="1" applyProtection="1">
      <alignment horizontal="center" vertical="center"/>
    </xf>
    <xf numFmtId="0" fontId="0" fillId="7" borderId="32" xfId="0" applyFill="1" applyBorder="1" applyAlignment="1" applyProtection="1">
      <alignment vertical="center"/>
    </xf>
    <xf numFmtId="0" fontId="0" fillId="7" borderId="20" xfId="0" applyFill="1" applyBorder="1" applyAlignment="1" applyProtection="1">
      <alignment vertical="center"/>
    </xf>
    <xf numFmtId="0" fontId="1" fillId="7" borderId="0" xfId="0" applyFont="1" applyFill="1" applyBorder="1" applyAlignment="1" applyProtection="1">
      <alignment horizontal="center" vertical="center"/>
    </xf>
    <xf numFmtId="0" fontId="1" fillId="7" borderId="30" xfId="0" applyFont="1" applyFill="1" applyBorder="1" applyAlignment="1" applyProtection="1">
      <alignment horizontal="right" vertical="center"/>
    </xf>
    <xf numFmtId="0" fontId="1" fillId="7" borderId="31" xfId="0" applyFont="1" applyFill="1" applyBorder="1" applyAlignment="1" applyProtection="1">
      <alignment vertical="center"/>
    </xf>
    <xf numFmtId="0" fontId="1" fillId="7" borderId="30" xfId="0" applyFont="1" applyFill="1" applyBorder="1" applyAlignment="1" applyProtection="1">
      <alignment vertical="center"/>
    </xf>
    <xf numFmtId="165" fontId="1" fillId="7" borderId="31" xfId="0" applyNumberFormat="1" applyFont="1" applyFill="1" applyBorder="1" applyAlignment="1" applyProtection="1">
      <alignment horizontal="center" vertical="center"/>
    </xf>
    <xf numFmtId="165" fontId="1" fillId="7" borderId="0" xfId="0" applyNumberFormat="1" applyFont="1" applyFill="1" applyBorder="1" applyAlignment="1" applyProtection="1">
      <alignment horizontal="center" vertical="center"/>
    </xf>
    <xf numFmtId="0" fontId="0" fillId="7" borderId="21" xfId="0" applyFill="1" applyBorder="1" applyAlignment="1" applyProtection="1">
      <alignment vertical="center"/>
    </xf>
    <xf numFmtId="165" fontId="0" fillId="7" borderId="0" xfId="0" applyNumberFormat="1" applyFill="1" applyBorder="1" applyAlignment="1" applyProtection="1">
      <alignment horizontal="center" vertical="center"/>
    </xf>
    <xf numFmtId="165" fontId="0" fillId="7" borderId="10" xfId="0" applyNumberFormat="1" applyFill="1" applyBorder="1" applyAlignment="1" applyProtection="1">
      <alignment horizontal="center" vertical="center"/>
    </xf>
    <xf numFmtId="165" fontId="0" fillId="7" borderId="9" xfId="0" applyNumberFormat="1" applyFill="1" applyBorder="1" applyAlignment="1" applyProtection="1">
      <alignment horizontal="center" vertical="center"/>
    </xf>
    <xf numFmtId="2" fontId="1" fillId="7" borderId="0" xfId="0" applyNumberFormat="1" applyFont="1" applyFill="1" applyBorder="1" applyAlignment="1" applyProtection="1">
      <alignment horizontal="center" vertical="center"/>
    </xf>
    <xf numFmtId="0" fontId="2" fillId="7" borderId="0" xfId="0" applyFont="1" applyFill="1" applyBorder="1" applyAlignment="1" applyProtection="1">
      <alignment horizontal="right" vertical="center"/>
    </xf>
    <xf numFmtId="165" fontId="0" fillId="7" borderId="2" xfId="0" applyNumberFormat="1" applyFill="1" applyBorder="1" applyAlignment="1" applyProtection="1">
      <alignment horizontal="center" vertical="center"/>
    </xf>
    <xf numFmtId="0" fontId="20" fillId="7" borderId="27" xfId="0" applyFont="1" applyFill="1" applyBorder="1" applyAlignment="1" applyProtection="1">
      <alignment vertical="center"/>
    </xf>
    <xf numFmtId="0" fontId="20" fillId="7" borderId="28" xfId="0" applyFont="1" applyFill="1" applyBorder="1" applyAlignment="1" applyProtection="1">
      <alignment vertical="center"/>
    </xf>
    <xf numFmtId="0" fontId="20" fillId="7" borderId="29" xfId="0" applyFont="1" applyFill="1" applyBorder="1" applyAlignment="1" applyProtection="1">
      <alignment vertical="center"/>
    </xf>
    <xf numFmtId="0" fontId="20" fillId="7" borderId="30" xfId="0" applyFont="1" applyFill="1" applyBorder="1" applyAlignment="1" applyProtection="1">
      <alignment vertical="center"/>
    </xf>
    <xf numFmtId="165" fontId="4" fillId="7" borderId="31" xfId="0" applyNumberFormat="1" applyFont="1" applyFill="1" applyBorder="1" applyAlignment="1" applyProtection="1">
      <alignment horizontal="center" vertical="center"/>
    </xf>
    <xf numFmtId="0" fontId="1" fillId="7" borderId="26" xfId="0" applyFont="1" applyFill="1" applyBorder="1" applyAlignment="1" applyProtection="1">
      <alignment horizontal="right" vertical="center"/>
    </xf>
    <xf numFmtId="0" fontId="2" fillId="7" borderId="31" xfId="0" applyFont="1" applyFill="1" applyBorder="1" applyAlignment="1" applyProtection="1">
      <alignment horizontal="left" vertical="center"/>
    </xf>
    <xf numFmtId="0" fontId="2" fillId="7" borderId="30" xfId="0" applyFont="1" applyFill="1" applyBorder="1" applyAlignment="1" applyProtection="1">
      <alignment vertical="center" wrapText="1"/>
    </xf>
    <xf numFmtId="0" fontId="4" fillId="3" borderId="17" xfId="0" applyFont="1" applyFill="1" applyBorder="1" applyAlignment="1" applyProtection="1">
      <alignment horizontal="right" vertical="center"/>
    </xf>
    <xf numFmtId="0" fontId="0" fillId="7" borderId="0" xfId="0" applyFill="1" applyAlignment="1" applyProtection="1">
      <alignment horizontal="center" vertical="center"/>
    </xf>
    <xf numFmtId="0" fontId="4" fillId="7" borderId="30" xfId="0" applyFont="1" applyFill="1" applyBorder="1" applyAlignment="1" applyProtection="1">
      <alignment horizontal="left" vertical="center"/>
    </xf>
    <xf numFmtId="0" fontId="10" fillId="7" borderId="31" xfId="0" applyFont="1" applyFill="1" applyBorder="1" applyAlignment="1" applyProtection="1">
      <alignment horizontal="right" vertical="center"/>
    </xf>
    <xf numFmtId="0" fontId="0" fillId="7" borderId="0" xfId="0" applyFill="1" applyAlignment="1" applyProtection="1">
      <alignment horizontal="left" vertical="center"/>
    </xf>
    <xf numFmtId="0" fontId="1" fillId="7" borderId="24" xfId="0" applyFont="1" applyFill="1" applyBorder="1" applyAlignment="1" applyProtection="1">
      <alignment horizontal="center" vertical="center"/>
    </xf>
    <xf numFmtId="0" fontId="1" fillId="7" borderId="25" xfId="0" applyFont="1" applyFill="1" applyBorder="1" applyAlignment="1" applyProtection="1">
      <alignment horizontal="center" vertical="center"/>
    </xf>
    <xf numFmtId="0" fontId="1" fillId="7" borderId="26" xfId="0" applyFont="1" applyFill="1" applyBorder="1" applyAlignment="1" applyProtection="1">
      <alignment horizontal="center" vertical="center"/>
    </xf>
    <xf numFmtId="0" fontId="1" fillId="7" borderId="16" xfId="0" applyFont="1"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 fillId="7" borderId="27" xfId="0" applyFont="1" applyFill="1" applyBorder="1" applyAlignment="1" applyProtection="1">
      <alignment horizontal="center" vertical="center"/>
    </xf>
    <xf numFmtId="0" fontId="21" fillId="7" borderId="31" xfId="0" applyFont="1" applyFill="1" applyBorder="1" applyAlignment="1" applyProtection="1">
      <alignment horizontal="right" vertical="center"/>
    </xf>
    <xf numFmtId="167" fontId="4" fillId="7" borderId="0" xfId="0" applyNumberFormat="1" applyFont="1" applyFill="1" applyBorder="1" applyAlignment="1" applyProtection="1">
      <alignment horizontal="left" vertical="center"/>
    </xf>
    <xf numFmtId="165" fontId="0" fillId="7" borderId="0" xfId="0" applyNumberFormat="1" applyFont="1" applyFill="1" applyBorder="1" applyAlignment="1" applyProtection="1">
      <alignment horizontal="center" vertical="center"/>
    </xf>
    <xf numFmtId="0" fontId="2" fillId="7" borderId="26" xfId="0" applyFont="1" applyFill="1" applyBorder="1" applyAlignment="1" applyProtection="1">
      <alignment horizontal="center" vertical="center"/>
    </xf>
    <xf numFmtId="0" fontId="2" fillId="7" borderId="16" xfId="0" applyFont="1" applyFill="1" applyBorder="1" applyAlignment="1" applyProtection="1">
      <alignment horizontal="center" vertical="center"/>
    </xf>
    <xf numFmtId="0" fontId="2" fillId="7" borderId="25" xfId="0" applyFont="1" applyFill="1" applyBorder="1" applyAlignment="1" applyProtection="1">
      <alignment horizontal="center" vertical="center"/>
    </xf>
    <xf numFmtId="166" fontId="1" fillId="7" borderId="24" xfId="0" applyNumberFormat="1" applyFont="1" applyFill="1" applyBorder="1" applyAlignment="1" applyProtection="1">
      <alignment horizontal="center" vertical="center"/>
    </xf>
    <xf numFmtId="165" fontId="11" fillId="7" borderId="0" xfId="0" applyNumberFormat="1" applyFont="1" applyFill="1" applyBorder="1" applyAlignment="1" applyProtection="1">
      <alignment horizontal="left" vertical="center"/>
    </xf>
    <xf numFmtId="164" fontId="1" fillId="7" borderId="0" xfId="0" applyNumberFormat="1" applyFont="1" applyFill="1" applyBorder="1" applyAlignment="1" applyProtection="1">
      <alignment horizontal="center" vertical="center"/>
    </xf>
    <xf numFmtId="165" fontId="4" fillId="7" borderId="0" xfId="0" applyNumberFormat="1" applyFont="1" applyFill="1" applyBorder="1" applyAlignment="1" applyProtection="1">
      <alignment horizontal="left" vertical="center"/>
    </xf>
    <xf numFmtId="1" fontId="0" fillId="7" borderId="1" xfId="0" applyNumberFormat="1" applyFill="1" applyBorder="1" applyAlignment="1" applyProtection="1">
      <alignment horizontal="center" vertical="center"/>
    </xf>
    <xf numFmtId="1" fontId="0" fillId="7" borderId="0" xfId="0" applyNumberFormat="1" applyFill="1" applyAlignment="1" applyProtection="1">
      <alignment horizontal="center" vertical="center"/>
    </xf>
    <xf numFmtId="167" fontId="0" fillId="7" borderId="0" xfId="0" applyNumberFormat="1" applyFill="1" applyAlignment="1" applyProtection="1">
      <alignment horizontal="center" vertical="center"/>
    </xf>
    <xf numFmtId="167" fontId="0" fillId="7" borderId="12" xfId="0" applyNumberFormat="1" applyFill="1" applyBorder="1" applyAlignment="1" applyProtection="1">
      <alignment horizontal="center" vertical="center"/>
    </xf>
    <xf numFmtId="167" fontId="0" fillId="7" borderId="0" xfId="0" applyNumberFormat="1" applyFill="1" applyBorder="1" applyAlignment="1" applyProtection="1">
      <alignment horizontal="center" vertical="center"/>
    </xf>
    <xf numFmtId="168" fontId="1" fillId="7" borderId="25" xfId="0" applyNumberFormat="1" applyFont="1" applyFill="1" applyBorder="1" applyAlignment="1" applyProtection="1">
      <alignment horizontal="center" vertical="center"/>
    </xf>
    <xf numFmtId="167" fontId="11" fillId="7" borderId="0" xfId="0" applyNumberFormat="1" applyFont="1" applyFill="1" applyBorder="1" applyAlignment="1" applyProtection="1">
      <alignment horizontal="left" vertical="center"/>
    </xf>
    <xf numFmtId="168" fontId="1" fillId="7" borderId="26" xfId="0" applyNumberFormat="1" applyFont="1" applyFill="1" applyBorder="1" applyAlignment="1" applyProtection="1">
      <alignment horizontal="center" vertical="center"/>
    </xf>
    <xf numFmtId="168" fontId="1" fillId="7" borderId="16" xfId="0" applyNumberFormat="1" applyFont="1" applyFill="1" applyBorder="1" applyAlignment="1" applyProtection="1">
      <alignment horizontal="center" vertical="center"/>
    </xf>
    <xf numFmtId="0" fontId="0" fillId="7" borderId="17" xfId="0" applyFill="1" applyBorder="1" applyAlignment="1" applyProtection="1">
      <alignment vertical="center"/>
    </xf>
    <xf numFmtId="0" fontId="2" fillId="7" borderId="18" xfId="0" applyFont="1" applyFill="1" applyBorder="1" applyAlignment="1" applyProtection="1">
      <alignment vertical="center"/>
    </xf>
    <xf numFmtId="0" fontId="2" fillId="7" borderId="19" xfId="0" applyFont="1" applyFill="1" applyBorder="1" applyAlignment="1" applyProtection="1">
      <alignment vertical="center"/>
    </xf>
    <xf numFmtId="0" fontId="23" fillId="7" borderId="0" xfId="0" applyFont="1" applyFill="1" applyBorder="1" applyAlignment="1" applyProtection="1">
      <alignment horizontal="center" vertical="center"/>
    </xf>
    <xf numFmtId="164" fontId="0" fillId="7" borderId="15" xfId="0" applyNumberFormat="1" applyFill="1" applyBorder="1" applyAlignment="1" applyProtection="1">
      <alignment horizontal="center" vertical="center"/>
    </xf>
    <xf numFmtId="165" fontId="0" fillId="7" borderId="8" xfId="0" applyNumberFormat="1" applyFill="1" applyBorder="1" applyAlignment="1" applyProtection="1">
      <alignment horizontal="center" vertical="center"/>
    </xf>
    <xf numFmtId="165" fontId="0" fillId="7" borderId="7" xfId="0" applyNumberFormat="1" applyFill="1" applyBorder="1" applyAlignment="1" applyProtection="1">
      <alignment horizontal="center" vertical="center"/>
    </xf>
    <xf numFmtId="165" fontId="0" fillId="7" borderId="15" xfId="0" applyNumberFormat="1" applyFill="1" applyBorder="1" applyAlignment="1" applyProtection="1">
      <alignment horizontal="center" vertical="center"/>
    </xf>
    <xf numFmtId="0" fontId="2" fillId="7" borderId="34" xfId="0" applyFont="1" applyFill="1" applyBorder="1" applyAlignment="1" applyProtection="1">
      <alignment horizontal="center" vertical="center"/>
    </xf>
    <xf numFmtId="0" fontId="20" fillId="7" borderId="30" xfId="0" applyFont="1" applyFill="1" applyBorder="1" applyAlignment="1" applyProtection="1">
      <alignment horizontal="center" vertical="center"/>
    </xf>
    <xf numFmtId="0" fontId="2" fillId="7"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21" fillId="7" borderId="0" xfId="0" applyFont="1" applyFill="1" applyBorder="1" applyAlignment="1" applyProtection="1">
      <alignment horizontal="left" vertical="center"/>
    </xf>
    <xf numFmtId="0" fontId="0" fillId="7" borderId="31" xfId="0" applyFill="1" applyBorder="1" applyAlignment="1" applyProtection="1">
      <alignment horizontal="center" vertical="center"/>
    </xf>
    <xf numFmtId="0" fontId="0" fillId="7" borderId="0" xfId="0" applyFill="1" applyBorder="1" applyAlignment="1" applyProtection="1">
      <alignment horizontal="center" vertical="center"/>
    </xf>
    <xf numFmtId="0" fontId="0" fillId="7" borderId="0" xfId="0" applyFill="1" applyBorder="1" applyAlignment="1" applyProtection="1">
      <alignment horizontal="left" vertical="center"/>
    </xf>
    <xf numFmtId="0" fontId="21" fillId="7" borderId="0" xfId="0" applyFont="1" applyFill="1" applyBorder="1" applyAlignment="1" applyProtection="1">
      <alignment horizontal="right" vertical="center"/>
    </xf>
    <xf numFmtId="0" fontId="0" fillId="7" borderId="30" xfId="0" applyFill="1" applyBorder="1" applyAlignment="1" applyProtection="1">
      <alignment horizontal="left" vertical="center"/>
    </xf>
    <xf numFmtId="0" fontId="0" fillId="0" borderId="0" xfId="0" applyBorder="1" applyAlignment="1" applyProtection="1">
      <alignment horizontal="left" vertical="center"/>
    </xf>
    <xf numFmtId="0" fontId="10" fillId="7" borderId="0" xfId="0" applyFont="1" applyFill="1" applyBorder="1" applyAlignment="1" applyProtection="1">
      <alignment horizontal="right" vertical="center"/>
    </xf>
    <xf numFmtId="0" fontId="0" fillId="6" borderId="0" xfId="0" applyFont="1" applyFill="1" applyBorder="1" applyAlignment="1"/>
    <xf numFmtId="0" fontId="0" fillId="7" borderId="0" xfId="0" applyFill="1"/>
    <xf numFmtId="167" fontId="0" fillId="7" borderId="0" xfId="0" applyNumberFormat="1" applyFill="1" applyAlignment="1">
      <alignment horizontal="center"/>
    </xf>
    <xf numFmtId="0" fontId="4" fillId="7" borderId="0" xfId="0" applyFont="1" applyFill="1" applyBorder="1" applyAlignment="1" applyProtection="1">
      <alignment horizontal="center"/>
    </xf>
    <xf numFmtId="0" fontId="0" fillId="7" borderId="0" xfId="0" applyFill="1" applyProtection="1"/>
    <xf numFmtId="0" fontId="0" fillId="7" borderId="0" xfId="0" applyFill="1" applyBorder="1" applyProtection="1"/>
    <xf numFmtId="0" fontId="2" fillId="7" borderId="24" xfId="0" applyFont="1" applyFill="1" applyBorder="1" applyAlignment="1" applyProtection="1">
      <alignment horizontal="center"/>
    </xf>
    <xf numFmtId="0" fontId="19" fillId="7" borderId="0" xfId="0" applyFont="1" applyFill="1" applyBorder="1" applyProtection="1"/>
    <xf numFmtId="0" fontId="4" fillId="7" borderId="0" xfId="0" applyFont="1" applyFill="1" applyBorder="1" applyProtection="1"/>
    <xf numFmtId="0" fontId="11" fillId="7" borderId="0" xfId="0" applyFont="1" applyFill="1" applyBorder="1" applyProtection="1"/>
    <xf numFmtId="0" fontId="20" fillId="7" borderId="0" xfId="0" applyFont="1" applyFill="1" applyBorder="1" applyAlignment="1" applyProtection="1">
      <alignment horizontal="center"/>
    </xf>
    <xf numFmtId="0" fontId="0" fillId="7" borderId="0" xfId="0" applyFill="1" applyBorder="1"/>
    <xf numFmtId="0" fontId="0" fillId="7" borderId="0" xfId="0" applyFont="1" applyFill="1" applyProtection="1"/>
    <xf numFmtId="0" fontId="11" fillId="7" borderId="0" xfId="0" applyFont="1" applyFill="1" applyBorder="1" applyAlignment="1" applyProtection="1">
      <alignment horizontal="left"/>
    </xf>
    <xf numFmtId="168" fontId="11" fillId="7" borderId="0" xfId="0" applyNumberFormat="1" applyFont="1" applyFill="1" applyBorder="1" applyAlignment="1" applyProtection="1">
      <alignment horizontal="center"/>
    </xf>
    <xf numFmtId="168" fontId="11" fillId="7" borderId="0" xfId="0" applyNumberFormat="1" applyFont="1" applyFill="1" applyBorder="1" applyAlignment="1" applyProtection="1">
      <alignment horizontal="left"/>
    </xf>
    <xf numFmtId="0" fontId="0" fillId="7" borderId="0" xfId="0" applyFont="1" applyFill="1" applyBorder="1" applyProtection="1"/>
    <xf numFmtId="0" fontId="0" fillId="7" borderId="0" xfId="0" applyFont="1" applyFill="1" applyBorder="1" applyAlignment="1" applyProtection="1">
      <alignment horizontal="center"/>
    </xf>
    <xf numFmtId="0" fontId="4" fillId="7" borderId="0" xfId="0" applyFont="1" applyFill="1" applyAlignment="1" applyProtection="1">
      <alignment horizontal="left"/>
    </xf>
    <xf numFmtId="0" fontId="0" fillId="7" borderId="0" xfId="0" applyFont="1" applyFill="1" applyAlignment="1" applyProtection="1">
      <alignment horizontal="center"/>
    </xf>
    <xf numFmtId="168" fontId="11" fillId="7" borderId="17" xfId="0" applyNumberFormat="1" applyFont="1" applyFill="1" applyBorder="1" applyAlignment="1" applyProtection="1"/>
    <xf numFmtId="0" fontId="1" fillId="7" borderId="24" xfId="0" applyFont="1" applyFill="1" applyBorder="1" applyAlignment="1" applyProtection="1">
      <alignment horizontal="center"/>
    </xf>
    <xf numFmtId="0" fontId="2" fillId="7" borderId="25" xfId="0" applyFont="1" applyFill="1" applyBorder="1" applyAlignment="1" applyProtection="1">
      <alignment horizontal="center"/>
    </xf>
    <xf numFmtId="167" fontId="1" fillId="7" borderId="25" xfId="0" applyNumberFormat="1" applyFont="1" applyFill="1" applyBorder="1" applyAlignment="1" applyProtection="1">
      <alignment horizontal="center"/>
    </xf>
    <xf numFmtId="1" fontId="1" fillId="7" borderId="25" xfId="0" applyNumberFormat="1" applyFont="1" applyFill="1" applyBorder="1" applyAlignment="1" applyProtection="1">
      <alignment horizontal="center"/>
    </xf>
    <xf numFmtId="0" fontId="2" fillId="7" borderId="26" xfId="0" applyFont="1" applyFill="1" applyBorder="1" applyAlignment="1" applyProtection="1">
      <alignment horizontal="center"/>
    </xf>
    <xf numFmtId="167" fontId="1" fillId="7" borderId="26" xfId="0" applyNumberFormat="1" applyFont="1" applyFill="1" applyBorder="1" applyAlignment="1" applyProtection="1">
      <alignment horizontal="center"/>
    </xf>
    <xf numFmtId="1" fontId="1" fillId="7" borderId="26" xfId="0" applyNumberFormat="1" applyFont="1" applyFill="1" applyBorder="1" applyAlignment="1" applyProtection="1">
      <alignment horizontal="center"/>
    </xf>
    <xf numFmtId="0" fontId="2" fillId="7" borderId="16" xfId="0" applyFont="1" applyFill="1" applyBorder="1" applyAlignment="1" applyProtection="1">
      <alignment horizontal="center"/>
    </xf>
    <xf numFmtId="167" fontId="1" fillId="7" borderId="16" xfId="0" applyNumberFormat="1" applyFont="1" applyFill="1" applyBorder="1" applyAlignment="1" applyProtection="1">
      <alignment horizontal="center"/>
    </xf>
    <xf numFmtId="1" fontId="1" fillId="7" borderId="16" xfId="0" applyNumberFormat="1" applyFont="1" applyFill="1" applyBorder="1" applyAlignment="1" applyProtection="1">
      <alignment horizontal="center"/>
    </xf>
    <xf numFmtId="0" fontId="11" fillId="7" borderId="0" xfId="0" applyFont="1" applyFill="1" applyProtection="1"/>
    <xf numFmtId="0" fontId="0" fillId="7" borderId="14" xfId="0" applyFont="1" applyFill="1" applyBorder="1" applyProtection="1"/>
    <xf numFmtId="0" fontId="0" fillId="7" borderId="14" xfId="0" applyFont="1" applyFill="1" applyBorder="1" applyAlignment="1" applyProtection="1">
      <alignment horizontal="center"/>
    </xf>
    <xf numFmtId="0" fontId="0" fillId="7" borderId="0" xfId="0" applyFont="1" applyFill="1" applyAlignment="1" applyProtection="1">
      <alignment horizontal="right"/>
    </xf>
    <xf numFmtId="1" fontId="0" fillId="7" borderId="0" xfId="0" applyNumberFormat="1" applyFont="1" applyFill="1" applyAlignment="1" applyProtection="1">
      <alignment horizontal="center"/>
    </xf>
    <xf numFmtId="168" fontId="4" fillId="7" borderId="0" xfId="0" applyNumberFormat="1" applyFont="1" applyFill="1" applyBorder="1" applyAlignment="1" applyProtection="1">
      <alignment horizontal="center"/>
    </xf>
    <xf numFmtId="168" fontId="4" fillId="7" borderId="0" xfId="0" applyNumberFormat="1" applyFont="1" applyFill="1" applyBorder="1" applyAlignment="1" applyProtection="1">
      <alignment horizontal="left"/>
    </xf>
    <xf numFmtId="1" fontId="0" fillId="7" borderId="0" xfId="0" applyNumberFormat="1" applyFont="1" applyFill="1" applyBorder="1" applyAlignment="1" applyProtection="1">
      <alignment horizontal="center"/>
    </xf>
    <xf numFmtId="0" fontId="1" fillId="7" borderId="1" xfId="0" applyFont="1" applyFill="1" applyBorder="1" applyAlignment="1" applyProtection="1">
      <alignment horizontal="center"/>
    </xf>
    <xf numFmtId="167" fontId="1" fillId="7" borderId="3" xfId="0" applyNumberFormat="1" applyFont="1" applyFill="1" applyBorder="1" applyAlignment="1" applyProtection="1">
      <alignment horizontal="center"/>
    </xf>
    <xf numFmtId="167" fontId="1" fillId="7" borderId="2" xfId="0" applyNumberFormat="1" applyFont="1" applyFill="1" applyBorder="1" applyAlignment="1" applyProtection="1">
      <alignment horizontal="center"/>
    </xf>
    <xf numFmtId="167" fontId="0" fillId="7" borderId="0" xfId="0" applyNumberFormat="1" applyFont="1" applyFill="1" applyAlignment="1" applyProtection="1">
      <alignment horizontal="left"/>
    </xf>
    <xf numFmtId="1" fontId="1" fillId="7" borderId="0" xfId="0" applyNumberFormat="1" applyFont="1" applyFill="1" applyAlignment="1" applyProtection="1">
      <alignment horizontal="center"/>
    </xf>
    <xf numFmtId="167" fontId="1" fillId="7" borderId="12" xfId="0" applyNumberFormat="1" applyFont="1" applyFill="1" applyBorder="1" applyAlignment="1" applyProtection="1">
      <alignment horizontal="center"/>
    </xf>
    <xf numFmtId="167" fontId="1" fillId="7" borderId="9" xfId="0" applyNumberFormat="1" applyFont="1" applyFill="1" applyBorder="1" applyAlignment="1" applyProtection="1">
      <alignment horizontal="center"/>
    </xf>
    <xf numFmtId="165" fontId="0" fillId="7" borderId="0" xfId="0" applyNumberFormat="1" applyFont="1" applyFill="1" applyProtection="1"/>
    <xf numFmtId="0" fontId="0" fillId="7" borderId="1" xfId="0" applyFont="1" applyFill="1" applyBorder="1" applyProtection="1"/>
    <xf numFmtId="0" fontId="0" fillId="7" borderId="3" xfId="0" applyFont="1" applyFill="1" applyBorder="1" applyProtection="1"/>
    <xf numFmtId="1" fontId="0" fillId="7" borderId="0" xfId="0" applyNumberFormat="1" applyFont="1" applyFill="1" applyProtection="1"/>
    <xf numFmtId="167" fontId="1" fillId="7" borderId="5" xfId="0" applyNumberFormat="1" applyFont="1" applyFill="1" applyBorder="1" applyAlignment="1" applyProtection="1">
      <alignment horizontal="center"/>
    </xf>
    <xf numFmtId="167" fontId="1" fillId="7" borderId="10" xfId="0" applyNumberFormat="1" applyFont="1" applyFill="1" applyBorder="1" applyAlignment="1" applyProtection="1">
      <alignment horizontal="center"/>
    </xf>
    <xf numFmtId="0" fontId="0" fillId="7" borderId="1" xfId="0" applyFont="1" applyFill="1" applyBorder="1" applyAlignment="1" applyProtection="1">
      <alignment horizontal="center"/>
    </xf>
    <xf numFmtId="166" fontId="0" fillId="7" borderId="15" xfId="0" applyNumberFormat="1" applyFont="1" applyFill="1" applyBorder="1" applyAlignment="1" applyProtection="1">
      <alignment horizontal="center"/>
    </xf>
    <xf numFmtId="166" fontId="0" fillId="7" borderId="8" xfId="0" applyNumberFormat="1" applyFont="1" applyFill="1" applyBorder="1" applyAlignment="1" applyProtection="1">
      <alignment horizontal="center"/>
    </xf>
    <xf numFmtId="166" fontId="0" fillId="7" borderId="7" xfId="0" applyNumberFormat="1" applyFont="1" applyFill="1" applyBorder="1" applyAlignment="1" applyProtection="1">
      <alignment horizontal="center"/>
    </xf>
    <xf numFmtId="1" fontId="0" fillId="7" borderId="15" xfId="0" applyNumberFormat="1" applyFont="1" applyFill="1" applyBorder="1" applyAlignment="1" applyProtection="1">
      <alignment horizontal="center"/>
    </xf>
    <xf numFmtId="1" fontId="0" fillId="7" borderId="8" xfId="0" applyNumberFormat="1" applyFont="1" applyFill="1" applyBorder="1" applyAlignment="1" applyProtection="1">
      <alignment horizontal="center"/>
    </xf>
    <xf numFmtId="1" fontId="0" fillId="7" borderId="7" xfId="0" applyNumberFormat="1" applyFont="1" applyFill="1" applyBorder="1" applyAlignment="1" applyProtection="1">
      <alignment horizontal="center"/>
    </xf>
    <xf numFmtId="0" fontId="1" fillId="7" borderId="0" xfId="0" applyFont="1" applyFill="1" applyProtection="1"/>
    <xf numFmtId="166" fontId="0" fillId="7" borderId="0" xfId="0" applyNumberFormat="1" applyFont="1" applyFill="1" applyAlignment="1" applyProtection="1">
      <alignment horizontal="center"/>
    </xf>
    <xf numFmtId="1" fontId="1" fillId="7" borderId="17" xfId="0" applyNumberFormat="1" applyFont="1" applyFill="1" applyBorder="1" applyAlignment="1" applyProtection="1">
      <alignment horizontal="center"/>
    </xf>
    <xf numFmtId="167" fontId="0" fillId="7" borderId="15" xfId="0" applyNumberFormat="1" applyFont="1" applyFill="1" applyBorder="1" applyAlignment="1" applyProtection="1">
      <alignment horizontal="center"/>
    </xf>
    <xf numFmtId="167" fontId="0" fillId="7" borderId="1" xfId="0" applyNumberFormat="1" applyFont="1" applyFill="1" applyBorder="1" applyAlignment="1" applyProtection="1">
      <alignment horizontal="center"/>
    </xf>
    <xf numFmtId="167" fontId="0" fillId="7" borderId="8" xfId="0" applyNumberFormat="1" applyFont="1" applyFill="1" applyBorder="1" applyAlignment="1" applyProtection="1">
      <alignment horizontal="center"/>
    </xf>
    <xf numFmtId="167" fontId="0" fillId="7" borderId="7" xfId="0" applyNumberFormat="1" applyFont="1" applyFill="1" applyBorder="1" applyAlignment="1" applyProtection="1">
      <alignment horizontal="center"/>
    </xf>
    <xf numFmtId="166" fontId="0" fillId="7" borderId="2" xfId="0" applyNumberFormat="1" applyFont="1" applyFill="1" applyBorder="1" applyAlignment="1" applyProtection="1">
      <alignment horizontal="center"/>
    </xf>
    <xf numFmtId="166" fontId="0" fillId="7" borderId="11" xfId="0" applyNumberFormat="1" applyFont="1" applyFill="1" applyBorder="1" applyAlignment="1" applyProtection="1">
      <alignment horizontal="center"/>
    </xf>
    <xf numFmtId="166" fontId="0" fillId="7" borderId="4" xfId="0" applyNumberFormat="1" applyFont="1" applyFill="1" applyBorder="1" applyAlignment="1" applyProtection="1">
      <alignment horizontal="center"/>
    </xf>
    <xf numFmtId="11" fontId="0" fillId="7" borderId="0" xfId="0" applyNumberFormat="1" applyFont="1" applyFill="1" applyProtection="1"/>
    <xf numFmtId="167" fontId="0" fillId="7" borderId="0" xfId="0" applyNumberFormat="1" applyFont="1" applyFill="1" applyAlignment="1" applyProtection="1">
      <alignment horizontal="center"/>
    </xf>
    <xf numFmtId="167" fontId="0" fillId="7" borderId="9" xfId="0" applyNumberFormat="1" applyFont="1" applyFill="1" applyBorder="1" applyAlignment="1" applyProtection="1">
      <alignment horizontal="center"/>
    </xf>
    <xf numFmtId="167" fontId="0" fillId="7" borderId="12" xfId="0" applyNumberFormat="1" applyFont="1" applyFill="1" applyBorder="1" applyAlignment="1" applyProtection="1">
      <alignment horizontal="center"/>
    </xf>
    <xf numFmtId="167" fontId="0" fillId="7" borderId="0" xfId="0" applyNumberFormat="1" applyFont="1" applyFill="1" applyBorder="1" applyAlignment="1" applyProtection="1">
      <alignment horizontal="center"/>
    </xf>
    <xf numFmtId="167" fontId="0" fillId="7" borderId="13" xfId="0" applyNumberFormat="1" applyFont="1" applyFill="1" applyBorder="1" applyAlignment="1" applyProtection="1">
      <alignment horizontal="center"/>
    </xf>
    <xf numFmtId="166" fontId="0" fillId="7" borderId="9" xfId="0" applyNumberFormat="1" applyFont="1" applyFill="1" applyBorder="1" applyAlignment="1" applyProtection="1">
      <alignment horizontal="center"/>
    </xf>
    <xf numFmtId="166" fontId="0" fillId="7" borderId="0" xfId="0" applyNumberFormat="1" applyFont="1" applyFill="1" applyBorder="1" applyAlignment="1" applyProtection="1">
      <alignment horizontal="center"/>
    </xf>
    <xf numFmtId="166" fontId="0" fillId="7" borderId="13" xfId="0" applyNumberFormat="1" applyFont="1" applyFill="1" applyBorder="1" applyAlignment="1" applyProtection="1">
      <alignment horizontal="center"/>
    </xf>
    <xf numFmtId="166" fontId="0" fillId="7" borderId="10" xfId="0" applyNumberFormat="1" applyFont="1" applyFill="1" applyBorder="1" applyAlignment="1" applyProtection="1">
      <alignment horizontal="center"/>
    </xf>
    <xf numFmtId="166" fontId="0" fillId="7" borderId="14" xfId="0" applyNumberFormat="1" applyFont="1" applyFill="1" applyBorder="1" applyAlignment="1" applyProtection="1">
      <alignment horizontal="center"/>
    </xf>
    <xf numFmtId="166" fontId="0" fillId="7" borderId="6" xfId="0" applyNumberFormat="1" applyFont="1" applyFill="1" applyBorder="1" applyAlignment="1" applyProtection="1">
      <alignment horizontal="center"/>
    </xf>
    <xf numFmtId="167" fontId="0" fillId="7" borderId="10" xfId="0" applyNumberFormat="1" applyFont="1" applyFill="1" applyBorder="1" applyAlignment="1" applyProtection="1">
      <alignment horizontal="center"/>
    </xf>
    <xf numFmtId="167" fontId="0" fillId="7" borderId="5" xfId="0" applyNumberFormat="1" applyFont="1" applyFill="1" applyBorder="1" applyAlignment="1" applyProtection="1">
      <alignment horizontal="center"/>
    </xf>
    <xf numFmtId="167" fontId="0" fillId="7" borderId="14" xfId="0" applyNumberFormat="1" applyFont="1" applyFill="1" applyBorder="1" applyAlignment="1" applyProtection="1">
      <alignment horizontal="center"/>
    </xf>
    <xf numFmtId="167" fontId="0" fillId="7" borderId="6" xfId="0" applyNumberFormat="1" applyFont="1" applyFill="1" applyBorder="1" applyAlignment="1" applyProtection="1">
      <alignment horizontal="center"/>
    </xf>
    <xf numFmtId="1" fontId="0" fillId="7" borderId="1" xfId="0" applyNumberFormat="1" applyFont="1" applyFill="1" applyBorder="1" applyAlignment="1" applyProtection="1">
      <alignment horizontal="center"/>
    </xf>
    <xf numFmtId="1" fontId="0" fillId="7" borderId="12" xfId="0" applyNumberFormat="1" applyFont="1" applyFill="1" applyBorder="1" applyAlignment="1" applyProtection="1">
      <alignment horizontal="center"/>
    </xf>
    <xf numFmtId="167" fontId="0" fillId="7" borderId="11" xfId="0" applyNumberFormat="1" applyFont="1" applyFill="1" applyBorder="1" applyAlignment="1" applyProtection="1">
      <alignment horizontal="center"/>
    </xf>
    <xf numFmtId="167" fontId="0" fillId="7" borderId="4" xfId="0" applyNumberFormat="1" applyFont="1" applyFill="1" applyBorder="1" applyAlignment="1" applyProtection="1">
      <alignment horizontal="center"/>
    </xf>
    <xf numFmtId="166" fontId="0" fillId="7" borderId="0" xfId="0" applyNumberFormat="1" applyFont="1" applyFill="1" applyProtection="1"/>
    <xf numFmtId="166" fontId="0" fillId="7" borderId="0" xfId="0" applyNumberFormat="1" applyFont="1" applyFill="1" applyBorder="1" applyProtection="1"/>
    <xf numFmtId="0" fontId="11" fillId="7" borderId="0" xfId="0" applyFont="1" applyFill="1" applyAlignment="1" applyProtection="1">
      <alignment horizontal="center"/>
    </xf>
    <xf numFmtId="165" fontId="0" fillId="7" borderId="0" xfId="0" applyNumberFormat="1" applyFont="1" applyFill="1" applyBorder="1" applyAlignment="1" applyProtection="1">
      <alignment horizontal="center"/>
    </xf>
    <xf numFmtId="165" fontId="0" fillId="7" borderId="0" xfId="0" applyNumberFormat="1" applyFont="1" applyFill="1" applyBorder="1" applyProtection="1"/>
    <xf numFmtId="0" fontId="19" fillId="7" borderId="0" xfId="0" applyFont="1" applyFill="1" applyProtection="1"/>
    <xf numFmtId="168" fontId="1" fillId="7" borderId="25" xfId="0" applyNumberFormat="1" applyFont="1" applyFill="1" applyBorder="1" applyAlignment="1" applyProtection="1">
      <alignment horizontal="center"/>
    </xf>
    <xf numFmtId="167" fontId="11" fillId="7" borderId="0" xfId="0" applyNumberFormat="1" applyFont="1" applyFill="1" applyBorder="1" applyAlignment="1" applyProtection="1">
      <alignment horizontal="left"/>
    </xf>
    <xf numFmtId="167" fontId="4" fillId="7" borderId="0" xfId="0" applyNumberFormat="1" applyFont="1" applyFill="1" applyBorder="1" applyAlignment="1" applyProtection="1">
      <alignment horizontal="left"/>
    </xf>
    <xf numFmtId="168" fontId="1" fillId="7" borderId="26" xfId="0" applyNumberFormat="1" applyFont="1" applyFill="1" applyBorder="1" applyAlignment="1" applyProtection="1">
      <alignment horizontal="center"/>
    </xf>
    <xf numFmtId="0" fontId="11" fillId="7" borderId="0" xfId="0" applyFont="1" applyFill="1" applyAlignment="1" applyProtection="1">
      <alignment horizontal="left"/>
    </xf>
    <xf numFmtId="168" fontId="1" fillId="7" borderId="16" xfId="0" applyNumberFormat="1" applyFont="1" applyFill="1" applyBorder="1" applyAlignment="1" applyProtection="1">
      <alignment horizontal="center"/>
    </xf>
    <xf numFmtId="0" fontId="12" fillId="7" borderId="0" xfId="0" applyFont="1" applyFill="1" applyBorder="1" applyProtection="1"/>
    <xf numFmtId="0" fontId="2" fillId="7" borderId="33" xfId="0" applyFont="1" applyFill="1" applyBorder="1" applyAlignment="1" applyProtection="1">
      <alignment horizontal="center"/>
    </xf>
    <xf numFmtId="0" fontId="2" fillId="7" borderId="34" xfId="0" applyFont="1" applyFill="1" applyBorder="1" applyAlignment="1" applyProtection="1">
      <alignment horizontal="center"/>
    </xf>
    <xf numFmtId="0" fontId="2" fillId="7" borderId="35" xfId="0" applyFont="1" applyFill="1" applyBorder="1" applyAlignment="1" applyProtection="1">
      <alignment horizontal="center"/>
    </xf>
    <xf numFmtId="0" fontId="20" fillId="7" borderId="30" xfId="0" applyFont="1" applyFill="1" applyBorder="1" applyAlignment="1" applyProtection="1">
      <alignment horizontal="center"/>
    </xf>
    <xf numFmtId="0" fontId="0" fillId="7" borderId="31" xfId="0" applyFont="1" applyFill="1" applyBorder="1" applyProtection="1"/>
    <xf numFmtId="0" fontId="0" fillId="7" borderId="30" xfId="0" applyFont="1" applyFill="1" applyBorder="1" applyProtection="1"/>
    <xf numFmtId="0" fontId="19" fillId="7" borderId="31" xfId="0" applyFont="1" applyFill="1" applyBorder="1" applyProtection="1"/>
    <xf numFmtId="0" fontId="19" fillId="7" borderId="30" xfId="0" applyFont="1" applyFill="1" applyBorder="1" applyProtection="1"/>
    <xf numFmtId="0" fontId="2" fillId="7" borderId="30" xfId="0" applyFont="1" applyFill="1" applyBorder="1" applyAlignment="1" applyProtection="1">
      <alignment horizontal="right"/>
    </xf>
    <xf numFmtId="0" fontId="0" fillId="7" borderId="31" xfId="0" applyFont="1" applyFill="1" applyBorder="1" applyAlignment="1" applyProtection="1">
      <alignment horizontal="center"/>
    </xf>
    <xf numFmtId="0" fontId="11" fillId="7" borderId="0" xfId="0" applyFont="1" applyFill="1" applyBorder="1" applyAlignment="1" applyProtection="1">
      <alignment horizontal="center"/>
    </xf>
    <xf numFmtId="0" fontId="0" fillId="7" borderId="20" xfId="0" applyFont="1" applyFill="1" applyBorder="1" applyProtection="1"/>
    <xf numFmtId="0" fontId="0" fillId="7" borderId="21" xfId="0" applyFont="1" applyFill="1" applyBorder="1" applyProtection="1"/>
    <xf numFmtId="0" fontId="0" fillId="7" borderId="21" xfId="0" applyFont="1" applyFill="1" applyBorder="1" applyAlignment="1" applyProtection="1">
      <alignment horizontal="center"/>
    </xf>
    <xf numFmtId="0" fontId="0" fillId="7" borderId="32" xfId="0" applyFont="1" applyFill="1" applyBorder="1" applyProtection="1"/>
    <xf numFmtId="0" fontId="0" fillId="8" borderId="27" xfId="0" applyFill="1" applyBorder="1"/>
    <xf numFmtId="0" fontId="0" fillId="8" borderId="28" xfId="0" applyFill="1" applyBorder="1"/>
    <xf numFmtId="0" fontId="0" fillId="8" borderId="29" xfId="0" applyFill="1" applyBorder="1"/>
    <xf numFmtId="0" fontId="0" fillId="8" borderId="30" xfId="0" applyFont="1" applyFill="1" applyBorder="1"/>
    <xf numFmtId="0" fontId="0" fillId="8" borderId="0" xfId="0" applyFont="1" applyFill="1" applyBorder="1"/>
    <xf numFmtId="0" fontId="0" fillId="8" borderId="31" xfId="0" applyFont="1" applyFill="1" applyBorder="1"/>
    <xf numFmtId="0" fontId="0" fillId="8" borderId="20" xfId="0" applyFont="1" applyFill="1" applyBorder="1"/>
    <xf numFmtId="0" fontId="0" fillId="8" borderId="21" xfId="0" applyFont="1" applyFill="1" applyBorder="1"/>
    <xf numFmtId="0" fontId="0" fillId="8" borderId="32" xfId="0" applyFont="1" applyFill="1" applyBorder="1"/>
    <xf numFmtId="0" fontId="15" fillId="7" borderId="0" xfId="0" applyFont="1" applyFill="1"/>
    <xf numFmtId="0" fontId="0" fillId="7" borderId="0" xfId="0" applyFont="1" applyFill="1"/>
    <xf numFmtId="0" fontId="0" fillId="7" borderId="0" xfId="0" applyFont="1" applyFill="1" applyAlignment="1">
      <alignment horizontal="center" vertical="center"/>
    </xf>
    <xf numFmtId="164" fontId="0" fillId="7" borderId="0" xfId="0" applyNumberFormat="1" applyFont="1" applyFill="1" applyAlignment="1">
      <alignment horizontal="center"/>
    </xf>
    <xf numFmtId="165" fontId="0" fillId="7" borderId="0" xfId="0" applyNumberFormat="1" applyFont="1" applyFill="1" applyAlignment="1">
      <alignment horizontal="center"/>
    </xf>
    <xf numFmtId="0" fontId="0" fillId="7" borderId="0" xfId="0" applyFont="1" applyFill="1" applyAlignment="1">
      <alignment horizontal="center"/>
    </xf>
    <xf numFmtId="2" fontId="0" fillId="7" borderId="0" xfId="0" applyNumberFormat="1" applyFont="1" applyFill="1" applyAlignment="1">
      <alignment horizontal="center" vertical="center"/>
    </xf>
    <xf numFmtId="165" fontId="0" fillId="7" borderId="0" xfId="0" applyNumberFormat="1" applyFill="1" applyAlignment="1">
      <alignment horizontal="center"/>
    </xf>
    <xf numFmtId="2" fontId="0" fillId="7" borderId="0" xfId="0" applyNumberFormat="1" applyFill="1" applyAlignment="1">
      <alignment horizontal="center"/>
    </xf>
    <xf numFmtId="0" fontId="0" fillId="7" borderId="0" xfId="0" applyFill="1" applyAlignment="1">
      <alignment horizontal="center"/>
    </xf>
    <xf numFmtId="2" fontId="0" fillId="7" borderId="0" xfId="0" applyNumberFormat="1" applyFont="1" applyFill="1" applyAlignment="1">
      <alignment horizontal="center"/>
    </xf>
    <xf numFmtId="0" fontId="1" fillId="0" borderId="0" xfId="0" applyFont="1" applyFill="1" applyAlignment="1">
      <alignment horizontal="center" vertical="center"/>
    </xf>
    <xf numFmtId="49" fontId="0" fillId="0" borderId="0" xfId="0" applyNumberFormat="1" applyFont="1" applyFill="1" applyAlignment="1">
      <alignment horizontal="center"/>
    </xf>
    <xf numFmtId="2" fontId="17" fillId="0" borderId="0" xfId="0" applyNumberFormat="1" applyFont="1" applyFill="1" applyAlignment="1">
      <alignment horizontal="center" vertical="center"/>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0" fontId="0" fillId="0" borderId="0" xfId="0" applyFont="1" applyFill="1" applyAlignment="1">
      <alignment horizontal="center"/>
    </xf>
    <xf numFmtId="166" fontId="0" fillId="0" borderId="0" xfId="0" applyNumberFormat="1" applyFont="1" applyFill="1" applyAlignment="1">
      <alignment horizontal="center" vertical="center"/>
    </xf>
    <xf numFmtId="0" fontId="0" fillId="0" borderId="0" xfId="0" applyFont="1" applyFill="1"/>
    <xf numFmtId="166" fontId="0" fillId="0" borderId="0" xfId="0" applyNumberFormat="1" applyFont="1" applyFill="1" applyAlignment="1">
      <alignment horizontal="center"/>
    </xf>
    <xf numFmtId="0" fontId="17" fillId="0" borderId="0" xfId="0" applyFont="1" applyFill="1" applyAlignment="1">
      <alignment horizontal="center" vertical="center"/>
    </xf>
    <xf numFmtId="164" fontId="0" fillId="0" borderId="0" xfId="0" applyNumberFormat="1" applyFont="1" applyFill="1" applyAlignment="1">
      <alignment horizontal="center" vertical="center"/>
    </xf>
    <xf numFmtId="164" fontId="0" fillId="0" borderId="0" xfId="0" applyNumberFormat="1" applyFont="1" applyFill="1"/>
    <xf numFmtId="0" fontId="14" fillId="0" borderId="0" xfId="0" applyFont="1" applyFill="1"/>
    <xf numFmtId="0" fontId="1" fillId="0" borderId="0" xfId="0" applyFont="1" applyFill="1"/>
    <xf numFmtId="0" fontId="1" fillId="0" borderId="0" xfId="0" applyFont="1" applyFill="1" applyBorder="1"/>
    <xf numFmtId="0" fontId="1" fillId="0" borderId="0" xfId="0" applyFont="1" applyFill="1" applyBorder="1" applyAlignment="1">
      <alignment horizontal="center"/>
    </xf>
    <xf numFmtId="0" fontId="22" fillId="0" borderId="0" xfId="0" applyFont="1" applyFill="1" applyAlignment="1">
      <alignment horizontal="center" vertical="center" wrapText="1"/>
    </xf>
    <xf numFmtId="49" fontId="17" fillId="0" borderId="0" xfId="0" applyNumberFormat="1" applyFont="1" applyFill="1" applyBorder="1" applyAlignment="1">
      <alignment horizontal="center" vertical="center"/>
    </xf>
    <xf numFmtId="2" fontId="0" fillId="0" borderId="0" xfId="0" applyNumberFormat="1" applyFont="1" applyFill="1" applyAlignment="1">
      <alignment horizontal="center"/>
    </xf>
    <xf numFmtId="2" fontId="18"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0" fontId="0" fillId="0" borderId="0" xfId="0" applyFill="1"/>
    <xf numFmtId="165" fontId="0" fillId="0" borderId="0" xfId="0" applyNumberFormat="1" applyFill="1" applyAlignment="1">
      <alignment horizontal="center"/>
    </xf>
    <xf numFmtId="2" fontId="0" fillId="0" borderId="0" xfId="0" applyNumberFormat="1" applyFill="1" applyAlignment="1">
      <alignment horizontal="center"/>
    </xf>
    <xf numFmtId="0" fontId="17" fillId="0" borderId="0" xfId="0" applyFont="1" applyFill="1" applyBorder="1" applyAlignment="1">
      <alignment horizontal="center" vertical="center" wrapText="1"/>
    </xf>
    <xf numFmtId="0" fontId="25" fillId="0" borderId="0" xfId="0" applyFont="1" applyFill="1"/>
    <xf numFmtId="164" fontId="17" fillId="0" borderId="0"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2" fontId="0" fillId="0" borderId="0" xfId="0" applyNumberFormat="1" applyFill="1" applyAlignment="1" applyProtection="1">
      <alignment horizontal="center"/>
    </xf>
    <xf numFmtId="0" fontId="1" fillId="0" borderId="0" xfId="0" applyFont="1" applyAlignment="1">
      <alignment horizontal="center" vertical="center"/>
    </xf>
    <xf numFmtId="165" fontId="0" fillId="0" borderId="0" xfId="0" applyNumberFormat="1" applyAlignment="1">
      <alignment horizontal="center"/>
    </xf>
    <xf numFmtId="2" fontId="0" fillId="0" borderId="0" xfId="0" applyNumberFormat="1" applyFont="1" applyAlignment="1">
      <alignment horizontal="center"/>
    </xf>
    <xf numFmtId="2" fontId="0" fillId="0" borderId="0" xfId="0" applyNumberFormat="1" applyAlignment="1">
      <alignment horizontal="center" vertical="center"/>
    </xf>
    <xf numFmtId="0" fontId="12" fillId="0" borderId="0" xfId="0" applyFont="1" applyFill="1" applyBorder="1" applyAlignment="1">
      <alignment horizontal="center" vertical="center" wrapText="1"/>
    </xf>
    <xf numFmtId="2" fontId="12" fillId="0" borderId="0" xfId="0" applyNumberFormat="1" applyFont="1" applyFill="1" applyAlignment="1">
      <alignment horizontal="center"/>
    </xf>
    <xf numFmtId="49" fontId="0" fillId="0" borderId="0" xfId="0" applyNumberFormat="1" applyFont="1" applyFill="1" applyAlignment="1">
      <alignment horizontal="right"/>
    </xf>
    <xf numFmtId="0" fontId="2"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0" fontId="0" fillId="0" borderId="13" xfId="0" applyBorder="1"/>
    <xf numFmtId="0" fontId="0" fillId="0" borderId="14" xfId="0" applyBorder="1"/>
    <xf numFmtId="0" fontId="0" fillId="0" borderId="6" xfId="0" applyBorder="1"/>
    <xf numFmtId="167" fontId="0" fillId="0" borderId="0" xfId="0" applyNumberFormat="1"/>
    <xf numFmtId="168" fontId="0" fillId="0" borderId="2" xfId="0" applyNumberFormat="1" applyBorder="1" applyAlignment="1">
      <alignment horizontal="center"/>
    </xf>
    <xf numFmtId="168" fontId="0" fillId="0" borderId="9" xfId="0" applyNumberFormat="1" applyBorder="1" applyAlignment="1">
      <alignment horizontal="center"/>
    </xf>
    <xf numFmtId="168" fontId="0" fillId="0" borderId="10" xfId="0" applyNumberFormat="1" applyBorder="1" applyAlignment="1">
      <alignment horizontal="center"/>
    </xf>
    <xf numFmtId="0" fontId="24" fillId="7" borderId="0" xfId="0" applyFont="1" applyFill="1" applyBorder="1" applyAlignment="1" applyProtection="1">
      <alignment vertical="center"/>
    </xf>
    <xf numFmtId="168" fontId="0" fillId="0" borderId="4" xfId="0" applyNumberFormat="1" applyBorder="1" applyAlignment="1">
      <alignment horizontal="center"/>
    </xf>
    <xf numFmtId="166" fontId="0" fillId="0" borderId="15" xfId="0" applyNumberFormat="1" applyBorder="1" applyAlignment="1">
      <alignment horizontal="center"/>
    </xf>
    <xf numFmtId="166" fontId="0" fillId="0" borderId="8" xfId="0" applyNumberFormat="1" applyBorder="1" applyAlignment="1">
      <alignment horizontal="center"/>
    </xf>
    <xf numFmtId="166" fontId="0" fillId="0" borderId="7" xfId="0" applyNumberFormat="1" applyBorder="1" applyAlignment="1">
      <alignment horizontal="center"/>
    </xf>
    <xf numFmtId="167" fontId="1" fillId="0" borderId="0" xfId="0" applyNumberFormat="1" applyFont="1" applyAlignment="1">
      <alignment horizontal="center"/>
    </xf>
    <xf numFmtId="0" fontId="1" fillId="0" borderId="0" xfId="0" applyFont="1" applyFill="1" applyAlignment="1">
      <alignment horizontal="center"/>
    </xf>
    <xf numFmtId="168" fontId="0" fillId="0" borderId="0" xfId="0" applyNumberFormat="1" applyAlignment="1" applyProtection="1">
      <alignment horizontal="center"/>
    </xf>
    <xf numFmtId="0" fontId="20" fillId="7" borderId="0" xfId="0" applyFont="1" applyFill="1" applyBorder="1" applyAlignment="1" applyProtection="1">
      <alignment horizontal="center" vertical="center"/>
    </xf>
    <xf numFmtId="0" fontId="2" fillId="7" borderId="33" xfId="0" applyFont="1" applyFill="1" applyBorder="1" applyAlignment="1" applyProtection="1">
      <alignment horizontal="center" vertical="center"/>
    </xf>
    <xf numFmtId="0" fontId="2" fillId="7" borderId="35" xfId="0" applyFont="1" applyFill="1" applyBorder="1" applyAlignment="1" applyProtection="1">
      <alignment horizontal="center" vertical="center"/>
    </xf>
    <xf numFmtId="0" fontId="1" fillId="7" borderId="0" xfId="0" applyFont="1" applyFill="1" applyAlignment="1" applyProtection="1">
      <alignment horizontal="center"/>
    </xf>
    <xf numFmtId="165" fontId="0" fillId="7" borderId="0" xfId="0" applyNumberFormat="1" applyFill="1" applyBorder="1" applyAlignment="1">
      <alignment horizontal="center"/>
    </xf>
    <xf numFmtId="2" fontId="0" fillId="7" borderId="0" xfId="0" applyNumberFormat="1" applyFill="1" applyBorder="1" applyAlignment="1">
      <alignment horizontal="center"/>
    </xf>
    <xf numFmtId="0" fontId="0" fillId="7" borderId="0" xfId="0" applyFont="1" applyFill="1" applyBorder="1"/>
    <xf numFmtId="0" fontId="0" fillId="7" borderId="0" xfId="0" applyFont="1" applyFill="1" applyBorder="1" applyAlignment="1">
      <alignment horizontal="center"/>
    </xf>
    <xf numFmtId="0" fontId="0" fillId="7" borderId="0" xfId="0" applyFill="1" applyBorder="1" applyAlignment="1">
      <alignment horizontal="center"/>
    </xf>
    <xf numFmtId="165" fontId="0" fillId="7" borderId="0" xfId="0" applyNumberFormat="1" applyFont="1" applyFill="1" applyBorder="1" applyAlignment="1">
      <alignment horizontal="center"/>
    </xf>
    <xf numFmtId="2" fontId="0" fillId="7" borderId="0" xfId="0" applyNumberFormat="1" applyFont="1" applyFill="1" applyBorder="1" applyAlignment="1">
      <alignment horizontal="center"/>
    </xf>
    <xf numFmtId="169" fontId="0" fillId="7" borderId="3" xfId="0" applyNumberFormat="1" applyFont="1" applyFill="1" applyBorder="1" applyProtection="1"/>
    <xf numFmtId="169" fontId="0" fillId="7" borderId="11" xfId="0" applyNumberFormat="1" applyFont="1" applyFill="1" applyBorder="1" applyProtection="1"/>
    <xf numFmtId="169" fontId="0" fillId="7" borderId="4" xfId="0" applyNumberFormat="1" applyFont="1" applyFill="1" applyBorder="1" applyProtection="1"/>
    <xf numFmtId="169" fontId="0" fillId="7" borderId="12" xfId="0" applyNumberFormat="1" applyFont="1" applyFill="1" applyBorder="1" applyProtection="1"/>
    <xf numFmtId="169" fontId="0" fillId="7" borderId="0" xfId="0" applyNumberFormat="1" applyFont="1" applyFill="1" applyBorder="1" applyProtection="1"/>
    <xf numFmtId="169" fontId="0" fillId="7" borderId="13" xfId="0" applyNumberFormat="1" applyFont="1" applyFill="1" applyBorder="1" applyProtection="1"/>
    <xf numFmtId="169" fontId="0" fillId="7" borderId="5" xfId="0" applyNumberFormat="1" applyFont="1" applyFill="1" applyBorder="1" applyProtection="1"/>
    <xf numFmtId="169" fontId="0" fillId="7" borderId="14" xfId="0" applyNumberFormat="1" applyFont="1" applyFill="1" applyBorder="1" applyProtection="1"/>
    <xf numFmtId="169" fontId="0" fillId="7" borderId="6" xfId="0" applyNumberFormat="1" applyFont="1" applyFill="1" applyBorder="1" applyProtection="1"/>
    <xf numFmtId="167" fontId="0" fillId="7" borderId="0" xfId="0" applyNumberFormat="1" applyFont="1" applyFill="1" applyBorder="1" applyProtection="1"/>
    <xf numFmtId="169" fontId="0" fillId="7" borderId="3" xfId="0" applyNumberFormat="1" applyFont="1" applyFill="1" applyBorder="1" applyAlignment="1" applyProtection="1">
      <alignment horizontal="center"/>
    </xf>
    <xf numFmtId="169" fontId="0" fillId="7" borderId="11" xfId="0" applyNumberFormat="1" applyFont="1" applyFill="1" applyBorder="1" applyAlignment="1" applyProtection="1">
      <alignment horizontal="center"/>
    </xf>
    <xf numFmtId="169" fontId="0" fillId="7" borderId="4" xfId="0" applyNumberFormat="1" applyFont="1" applyFill="1" applyBorder="1" applyAlignment="1" applyProtection="1">
      <alignment horizontal="center"/>
    </xf>
    <xf numFmtId="169" fontId="0" fillId="7" borderId="12" xfId="0" applyNumberFormat="1" applyFont="1" applyFill="1" applyBorder="1" applyAlignment="1" applyProtection="1">
      <alignment horizontal="center"/>
    </xf>
    <xf numFmtId="169" fontId="0" fillId="7" borderId="0" xfId="0" applyNumberFormat="1" applyFont="1" applyFill="1" applyBorder="1" applyAlignment="1" applyProtection="1">
      <alignment horizontal="center"/>
    </xf>
    <xf numFmtId="169" fontId="0" fillId="7" borderId="13" xfId="0" applyNumberFormat="1" applyFont="1" applyFill="1" applyBorder="1" applyAlignment="1" applyProtection="1">
      <alignment horizontal="center"/>
    </xf>
    <xf numFmtId="169" fontId="0" fillId="7" borderId="5" xfId="0" applyNumberFormat="1" applyFont="1" applyFill="1" applyBorder="1" applyAlignment="1" applyProtection="1">
      <alignment horizontal="center"/>
    </xf>
    <xf numFmtId="169" fontId="0" fillId="7" borderId="14" xfId="0" applyNumberFormat="1" applyFont="1" applyFill="1" applyBorder="1" applyAlignment="1" applyProtection="1">
      <alignment horizontal="center"/>
    </xf>
    <xf numFmtId="169" fontId="0" fillId="7" borderId="6" xfId="0" applyNumberFormat="1" applyFont="1" applyFill="1" applyBorder="1" applyAlignment="1" applyProtection="1">
      <alignment horizontal="center"/>
    </xf>
    <xf numFmtId="169" fontId="0" fillId="7" borderId="1" xfId="0" applyNumberFormat="1" applyFont="1" applyFill="1" applyBorder="1" applyAlignment="1" applyProtection="1">
      <alignment horizontal="center"/>
    </xf>
    <xf numFmtId="170" fontId="1" fillId="7" borderId="2" xfId="0" applyNumberFormat="1" applyFont="1" applyFill="1" applyBorder="1" applyAlignment="1" applyProtection="1">
      <alignment horizontal="center"/>
    </xf>
    <xf numFmtId="170" fontId="1" fillId="7" borderId="9" xfId="0" applyNumberFormat="1" applyFont="1" applyFill="1" applyBorder="1" applyAlignment="1" applyProtection="1">
      <alignment horizontal="center"/>
    </xf>
    <xf numFmtId="170" fontId="1" fillId="7" borderId="10" xfId="0" applyNumberFormat="1" applyFont="1" applyFill="1" applyBorder="1" applyAlignment="1" applyProtection="1">
      <alignment horizontal="center"/>
    </xf>
    <xf numFmtId="0" fontId="1" fillId="7" borderId="0" xfId="0" applyFont="1" applyFill="1" applyAlignment="1" applyProtection="1">
      <alignment horizontal="left"/>
    </xf>
    <xf numFmtId="167" fontId="0" fillId="7" borderId="3" xfId="0" applyNumberFormat="1" applyFill="1" applyBorder="1" applyAlignment="1" applyProtection="1">
      <alignment horizontal="center" vertical="center"/>
    </xf>
    <xf numFmtId="167" fontId="0" fillId="7" borderId="11" xfId="0" applyNumberFormat="1" applyFill="1" applyBorder="1" applyAlignment="1" applyProtection="1">
      <alignment horizontal="center" vertical="center"/>
    </xf>
    <xf numFmtId="167" fontId="0" fillId="7" borderId="4" xfId="0" applyNumberFormat="1" applyFill="1" applyBorder="1" applyAlignment="1" applyProtection="1">
      <alignment horizontal="center" vertical="center"/>
    </xf>
    <xf numFmtId="167" fontId="0" fillId="7" borderId="13" xfId="0" applyNumberFormat="1" applyFill="1" applyBorder="1" applyAlignment="1" applyProtection="1">
      <alignment horizontal="center" vertical="center"/>
    </xf>
    <xf numFmtId="167" fontId="0" fillId="7" borderId="5" xfId="0" applyNumberFormat="1" applyFill="1" applyBorder="1" applyAlignment="1" applyProtection="1">
      <alignment horizontal="center" vertical="center"/>
    </xf>
    <xf numFmtId="167" fontId="0" fillId="7" borderId="14" xfId="0" applyNumberFormat="1" applyFill="1" applyBorder="1" applyAlignment="1" applyProtection="1">
      <alignment horizontal="center" vertical="center"/>
    </xf>
    <xf numFmtId="167" fontId="0" fillId="7" borderId="6" xfId="0" applyNumberFormat="1" applyFill="1" applyBorder="1" applyAlignment="1" applyProtection="1">
      <alignment horizontal="center" vertical="center"/>
    </xf>
    <xf numFmtId="167" fontId="4" fillId="3" borderId="25" xfId="0" applyNumberFormat="1" applyFont="1" applyFill="1" applyBorder="1" applyAlignment="1" applyProtection="1">
      <alignment horizontal="center" vertical="center"/>
    </xf>
    <xf numFmtId="167" fontId="4" fillId="3" borderId="29" xfId="0" applyNumberFormat="1" applyFont="1" applyFill="1" applyBorder="1" applyAlignment="1" applyProtection="1">
      <alignment horizontal="center" vertical="center"/>
    </xf>
    <xf numFmtId="167" fontId="4" fillId="3" borderId="31" xfId="0" applyNumberFormat="1" applyFont="1" applyFill="1" applyBorder="1" applyAlignment="1" applyProtection="1">
      <alignment horizontal="center" vertical="center"/>
    </xf>
    <xf numFmtId="167" fontId="4" fillId="3" borderId="32" xfId="0" applyNumberFormat="1" applyFont="1" applyFill="1" applyBorder="1" applyAlignment="1" applyProtection="1">
      <alignment horizontal="center" vertical="center"/>
    </xf>
    <xf numFmtId="167" fontId="4" fillId="3" borderId="27" xfId="0" applyNumberFormat="1" applyFont="1" applyFill="1" applyBorder="1" applyAlignment="1" applyProtection="1">
      <alignment horizontal="center" vertical="center"/>
    </xf>
    <xf numFmtId="167" fontId="4" fillId="3" borderId="20" xfId="0" applyNumberFormat="1" applyFont="1" applyFill="1" applyBorder="1" applyAlignment="1" applyProtection="1">
      <alignment horizontal="center" vertical="center"/>
    </xf>
    <xf numFmtId="0" fontId="1" fillId="7" borderId="0" xfId="0" applyFont="1" applyFill="1" applyAlignment="1" applyProtection="1">
      <alignment horizontal="center"/>
    </xf>
    <xf numFmtId="0" fontId="1" fillId="0" borderId="0" xfId="0" applyFont="1" applyFill="1" applyAlignment="1">
      <alignment horizontal="center"/>
    </xf>
    <xf numFmtId="167" fontId="16" fillId="7" borderId="11" xfId="0" applyNumberFormat="1" applyFont="1" applyFill="1" applyBorder="1" applyAlignment="1" applyProtection="1">
      <alignment horizontal="center" vertical="center"/>
    </xf>
    <xf numFmtId="167" fontId="16" fillId="7" borderId="0" xfId="0" applyNumberFormat="1"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65" fontId="8" fillId="7" borderId="0" xfId="0" applyNumberFormat="1" applyFont="1" applyFill="1" applyBorder="1" applyAlignment="1" applyProtection="1">
      <alignment horizontal="center" vertical="center"/>
    </xf>
    <xf numFmtId="0" fontId="11" fillId="3" borderId="17" xfId="0" applyFont="1" applyFill="1" applyBorder="1" applyAlignment="1" applyProtection="1">
      <alignment horizontal="left" vertical="center"/>
    </xf>
    <xf numFmtId="2" fontId="0" fillId="7" borderId="0" xfId="0" applyNumberFormat="1" applyFill="1" applyProtection="1"/>
    <xf numFmtId="0" fontId="11" fillId="7" borderId="0" xfId="0" applyFont="1" applyFill="1" applyBorder="1" applyAlignment="1" applyProtection="1">
      <alignment horizontal="left" vertical="center"/>
    </xf>
    <xf numFmtId="165" fontId="0" fillId="7" borderId="0" xfId="0" applyNumberFormat="1" applyFill="1" applyProtection="1"/>
    <xf numFmtId="0" fontId="0" fillId="7" borderId="20" xfId="0" applyFill="1" applyBorder="1" applyProtection="1"/>
    <xf numFmtId="0" fontId="0" fillId="7" borderId="21" xfId="0" applyFill="1" applyBorder="1" applyProtection="1"/>
    <xf numFmtId="0" fontId="16" fillId="7" borderId="21" xfId="0" applyFont="1" applyFill="1" applyBorder="1" applyAlignment="1" applyProtection="1">
      <alignment horizontal="center" vertical="center"/>
    </xf>
    <xf numFmtId="0" fontId="16" fillId="7" borderId="32" xfId="0" applyFont="1" applyFill="1" applyBorder="1" applyAlignment="1" applyProtection="1">
      <alignment horizontal="center" vertical="center"/>
    </xf>
    <xf numFmtId="0" fontId="16" fillId="7" borderId="0" xfId="0" applyFont="1" applyFill="1" applyAlignment="1" applyProtection="1">
      <alignment horizontal="center" vertical="center"/>
    </xf>
    <xf numFmtId="166" fontId="0" fillId="7" borderId="21" xfId="0" applyNumberFormat="1" applyFill="1" applyBorder="1" applyProtection="1"/>
    <xf numFmtId="0" fontId="0" fillId="7" borderId="32" xfId="0" applyFill="1" applyBorder="1" applyProtection="1"/>
    <xf numFmtId="166" fontId="0" fillId="7" borderId="0" xfId="0" applyNumberFormat="1" applyFill="1" applyProtection="1"/>
    <xf numFmtId="0" fontId="1" fillId="7" borderId="0" xfId="0" applyFont="1" applyFill="1" applyAlignment="1" applyProtection="1">
      <alignment horizontal="right"/>
    </xf>
    <xf numFmtId="167" fontId="0" fillId="7" borderId="2" xfId="0" applyNumberFormat="1" applyFill="1" applyBorder="1" applyAlignment="1" applyProtection="1">
      <alignment horizontal="center"/>
    </xf>
    <xf numFmtId="167" fontId="0" fillId="7" borderId="1" xfId="0" applyNumberFormat="1" applyFill="1" applyBorder="1" applyAlignment="1" applyProtection="1">
      <alignment horizontal="center"/>
    </xf>
    <xf numFmtId="167" fontId="0" fillId="7" borderId="9" xfId="0" applyNumberFormat="1" applyFill="1" applyBorder="1" applyAlignment="1" applyProtection="1">
      <alignment horizontal="center"/>
    </xf>
    <xf numFmtId="167" fontId="0" fillId="7" borderId="10" xfId="0" applyNumberFormat="1" applyFill="1" applyBorder="1" applyAlignment="1" applyProtection="1">
      <alignment horizontal="center"/>
    </xf>
    <xf numFmtId="167" fontId="0" fillId="7" borderId="0" xfId="0" applyNumberFormat="1" applyFill="1" applyAlignment="1" applyProtection="1">
      <alignment horizontal="center"/>
    </xf>
    <xf numFmtId="165" fontId="1" fillId="2" borderId="24" xfId="0" quotePrefix="1" applyNumberFormat="1" applyFont="1" applyFill="1" applyBorder="1" applyAlignment="1" applyProtection="1">
      <alignment horizontal="center" vertical="center"/>
      <protection locked="0"/>
    </xf>
    <xf numFmtId="167" fontId="0" fillId="0" borderId="3" xfId="0" applyNumberFormat="1" applyBorder="1" applyAlignment="1">
      <alignment horizontal="center"/>
    </xf>
    <xf numFmtId="167" fontId="0" fillId="0" borderId="12" xfId="0" applyNumberFormat="1" applyBorder="1" applyAlignment="1">
      <alignment horizontal="center"/>
    </xf>
    <xf numFmtId="167" fontId="0" fillId="0" borderId="5" xfId="0" applyNumberFormat="1" applyBorder="1" applyAlignment="1">
      <alignment horizontal="center"/>
    </xf>
    <xf numFmtId="0" fontId="2" fillId="3" borderId="1" xfId="0" applyFont="1" applyFill="1" applyBorder="1" applyAlignment="1" applyProtection="1">
      <alignment horizontal="center" vertical="center"/>
    </xf>
    <xf numFmtId="167" fontId="4" fillId="7" borderId="0" xfId="0" applyNumberFormat="1"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protection locked="0"/>
    </xf>
    <xf numFmtId="167" fontId="4"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0" fillId="0" borderId="30" xfId="0" applyFill="1" applyBorder="1" applyAlignment="1" applyProtection="1">
      <alignment vertical="center"/>
    </xf>
    <xf numFmtId="165" fontId="0" fillId="0" borderId="0" xfId="0" applyNumberFormat="1" applyFill="1" applyBorder="1" applyAlignment="1" applyProtection="1">
      <alignment horizontal="center" vertical="center"/>
    </xf>
    <xf numFmtId="165" fontId="0" fillId="7" borderId="31" xfId="0" applyNumberFormat="1" applyFill="1" applyBorder="1" applyAlignment="1" applyProtection="1">
      <alignment horizontal="center" vertical="center"/>
    </xf>
    <xf numFmtId="167" fontId="24" fillId="0" borderId="0" xfId="0" applyNumberFormat="1" applyFont="1" applyFill="1" applyBorder="1" applyAlignment="1" applyProtection="1">
      <alignment horizontal="left" vertical="center"/>
    </xf>
    <xf numFmtId="165" fontId="1" fillId="0" borderId="24" xfId="0" applyNumberFormat="1" applyFont="1" applyFill="1" applyBorder="1" applyAlignment="1" applyProtection="1">
      <alignment horizontal="center"/>
      <protection locked="0"/>
    </xf>
    <xf numFmtId="165" fontId="1" fillId="0" borderId="26" xfId="0" applyNumberFormat="1" applyFont="1" applyFill="1" applyBorder="1" applyAlignment="1" applyProtection="1">
      <alignment horizontal="center"/>
      <protection locked="0"/>
    </xf>
    <xf numFmtId="165" fontId="1" fillId="0" borderId="16" xfId="0" applyNumberFormat="1" applyFont="1" applyFill="1" applyBorder="1" applyAlignment="1" applyProtection="1">
      <alignment horizontal="center"/>
      <protection locked="0"/>
    </xf>
    <xf numFmtId="168" fontId="11" fillId="0" borderId="19" xfId="0" applyNumberFormat="1" applyFont="1" applyFill="1" applyBorder="1" applyAlignment="1" applyProtection="1"/>
    <xf numFmtId="0" fontId="1" fillId="0" borderId="24" xfId="0" applyFont="1" applyFill="1" applyBorder="1" applyAlignment="1" applyProtection="1">
      <alignment horizontal="center"/>
    </xf>
    <xf numFmtId="0" fontId="1" fillId="0" borderId="32" xfId="0" applyFont="1" applyFill="1" applyBorder="1" applyAlignment="1" applyProtection="1">
      <alignment horizontal="center"/>
    </xf>
    <xf numFmtId="166" fontId="1" fillId="0" borderId="16" xfId="0" applyNumberFormat="1" applyFont="1" applyFill="1" applyBorder="1" applyAlignment="1" applyProtection="1">
      <alignment horizontal="center"/>
    </xf>
    <xf numFmtId="167" fontId="1" fillId="0" borderId="25" xfId="0" applyNumberFormat="1" applyFont="1" applyFill="1" applyBorder="1" applyAlignment="1" applyProtection="1">
      <alignment horizontal="center"/>
    </xf>
    <xf numFmtId="167" fontId="4" fillId="0" borderId="29" xfId="0" applyNumberFormat="1" applyFont="1" applyFill="1" applyBorder="1" applyAlignment="1" applyProtection="1">
      <alignment horizontal="center"/>
    </xf>
    <xf numFmtId="1" fontId="1" fillId="0" borderId="25" xfId="0" applyNumberFormat="1" applyFont="1" applyFill="1" applyBorder="1" applyAlignment="1" applyProtection="1">
      <alignment horizontal="center"/>
    </xf>
    <xf numFmtId="167" fontId="1" fillId="0" borderId="26" xfId="0" applyNumberFormat="1" applyFont="1" applyFill="1" applyBorder="1" applyAlignment="1" applyProtection="1">
      <alignment horizontal="center"/>
    </xf>
    <xf numFmtId="167" fontId="4" fillId="0" borderId="31" xfId="0" applyNumberFormat="1" applyFont="1" applyFill="1" applyBorder="1" applyAlignment="1" applyProtection="1">
      <alignment horizontal="center"/>
    </xf>
    <xf numFmtId="1" fontId="1" fillId="0" borderId="26" xfId="0" applyNumberFormat="1" applyFont="1" applyFill="1" applyBorder="1" applyAlignment="1" applyProtection="1">
      <alignment horizontal="center"/>
    </xf>
    <xf numFmtId="167" fontId="1" fillId="0" borderId="16" xfId="0" applyNumberFormat="1" applyFont="1" applyFill="1" applyBorder="1" applyAlignment="1" applyProtection="1">
      <alignment horizontal="center"/>
    </xf>
    <xf numFmtId="167" fontId="4" fillId="0" borderId="32" xfId="0" applyNumberFormat="1" applyFont="1" applyFill="1" applyBorder="1" applyAlignment="1" applyProtection="1">
      <alignment horizontal="center"/>
    </xf>
    <xf numFmtId="1" fontId="1" fillId="0" borderId="16" xfId="0" applyNumberFormat="1" applyFont="1" applyFill="1" applyBorder="1" applyAlignment="1" applyProtection="1">
      <alignment horizontal="center"/>
    </xf>
    <xf numFmtId="0" fontId="1" fillId="0" borderId="0" xfId="0" applyFont="1" applyFill="1" applyProtection="1"/>
    <xf numFmtId="0" fontId="1" fillId="0" borderId="7" xfId="0" applyFont="1" applyFill="1" applyBorder="1" applyAlignment="1" applyProtection="1">
      <alignment horizontal="center"/>
    </xf>
    <xf numFmtId="0" fontId="1" fillId="0" borderId="1" xfId="0" applyFont="1" applyFill="1" applyBorder="1" applyAlignment="1" applyProtection="1">
      <alignment horizontal="center"/>
    </xf>
    <xf numFmtId="165" fontId="4" fillId="0" borderId="1" xfId="0" applyNumberFormat="1" applyFont="1" applyFill="1" applyBorder="1" applyAlignment="1" applyProtection="1">
      <alignment horizontal="center"/>
    </xf>
    <xf numFmtId="0" fontId="1" fillId="0" borderId="0" xfId="0" applyFont="1" applyFill="1" applyAlignment="1" applyProtection="1">
      <alignment horizontal="right"/>
    </xf>
    <xf numFmtId="167" fontId="1" fillId="0" borderId="3" xfId="0" applyNumberFormat="1" applyFont="1" applyFill="1" applyBorder="1" applyAlignment="1" applyProtection="1">
      <alignment horizontal="center"/>
    </xf>
    <xf numFmtId="167" fontId="1" fillId="0" borderId="11" xfId="0" applyNumberFormat="1" applyFont="1" applyFill="1" applyBorder="1" applyAlignment="1" applyProtection="1">
      <alignment horizontal="center"/>
    </xf>
    <xf numFmtId="167" fontId="1" fillId="0" borderId="4"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xf>
    <xf numFmtId="167" fontId="1" fillId="0" borderId="12" xfId="0" applyNumberFormat="1" applyFont="1" applyFill="1" applyBorder="1" applyAlignment="1" applyProtection="1">
      <alignment horizontal="center"/>
    </xf>
    <xf numFmtId="167" fontId="1" fillId="0" borderId="0" xfId="0" applyNumberFormat="1" applyFont="1" applyFill="1" applyBorder="1" applyAlignment="1" applyProtection="1">
      <alignment horizontal="center"/>
    </xf>
    <xf numFmtId="167" fontId="1" fillId="0" borderId="13" xfId="0" applyNumberFormat="1" applyFont="1" applyFill="1" applyBorder="1" applyAlignment="1" applyProtection="1">
      <alignment horizontal="center"/>
    </xf>
    <xf numFmtId="165" fontId="1" fillId="0" borderId="10" xfId="0" applyNumberFormat="1" applyFont="1" applyFill="1" applyBorder="1" applyAlignment="1" applyProtection="1">
      <alignment horizontal="center"/>
    </xf>
    <xf numFmtId="167" fontId="1" fillId="0" borderId="5" xfId="0" applyNumberFormat="1" applyFont="1" applyFill="1" applyBorder="1" applyAlignment="1" applyProtection="1">
      <alignment horizontal="center"/>
    </xf>
    <xf numFmtId="167" fontId="1" fillId="0" borderId="14" xfId="0" applyNumberFormat="1" applyFont="1" applyFill="1" applyBorder="1" applyAlignment="1" applyProtection="1">
      <alignment horizontal="center"/>
    </xf>
    <xf numFmtId="167" fontId="1" fillId="0" borderId="6" xfId="0" applyNumberFormat="1" applyFont="1" applyFill="1" applyBorder="1" applyAlignment="1" applyProtection="1">
      <alignment horizontal="center"/>
    </xf>
    <xf numFmtId="0" fontId="0" fillId="0" borderId="11" xfId="0" applyFill="1" applyBorder="1" applyProtection="1"/>
    <xf numFmtId="0" fontId="0" fillId="0" borderId="0" xfId="0" applyFill="1" applyBorder="1" applyProtection="1"/>
    <xf numFmtId="0" fontId="1" fillId="0" borderId="10" xfId="0" applyFont="1" applyFill="1" applyBorder="1" applyAlignment="1" applyProtection="1">
      <alignment horizontal="center"/>
    </xf>
    <xf numFmtId="49" fontId="1" fillId="0" borderId="10" xfId="0" applyNumberFormat="1" applyFont="1" applyFill="1" applyBorder="1" applyAlignment="1" applyProtection="1">
      <alignment horizontal="center"/>
    </xf>
    <xf numFmtId="166" fontId="1" fillId="0" borderId="0" xfId="0" applyNumberFormat="1" applyFont="1" applyFill="1" applyAlignment="1" applyProtection="1">
      <alignment horizontal="center"/>
    </xf>
    <xf numFmtId="167" fontId="1" fillId="0" borderId="0" xfId="0" applyNumberFormat="1" applyFont="1" applyFill="1" applyProtection="1"/>
    <xf numFmtId="0" fontId="1" fillId="0" borderId="0" xfId="0" applyFont="1" applyFill="1" applyAlignment="1" applyProtection="1">
      <alignment horizontal="center"/>
    </xf>
    <xf numFmtId="165" fontId="1" fillId="0" borderId="2" xfId="0" applyNumberFormat="1" applyFont="1" applyFill="1" applyBorder="1" applyAlignment="1" applyProtection="1">
      <alignment horizontal="center"/>
    </xf>
    <xf numFmtId="165" fontId="4" fillId="0" borderId="2" xfId="0" applyNumberFormat="1" applyFont="1" applyFill="1" applyBorder="1" applyAlignment="1" applyProtection="1">
      <alignment horizontal="center"/>
    </xf>
    <xf numFmtId="1" fontId="0" fillId="0" borderId="0" xfId="0" applyNumberFormat="1" applyFill="1" applyAlignment="1" applyProtection="1">
      <alignment horizontal="center"/>
    </xf>
    <xf numFmtId="165" fontId="4" fillId="0" borderId="9"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4" fillId="0" borderId="10" xfId="0" applyNumberFormat="1" applyFont="1" applyFill="1" applyBorder="1" applyAlignment="1" applyProtection="1">
      <alignment horizontal="center"/>
    </xf>
    <xf numFmtId="165" fontId="4" fillId="7" borderId="0" xfId="0" applyNumberFormat="1" applyFont="1" applyFill="1" applyBorder="1" applyAlignment="1" applyProtection="1">
      <alignment vertical="center"/>
    </xf>
    <xf numFmtId="0" fontId="4" fillId="7" borderId="0" xfId="0" applyFont="1" applyFill="1" applyBorder="1" applyAlignment="1" applyProtection="1">
      <alignment horizontal="center" vertical="center"/>
    </xf>
    <xf numFmtId="0" fontId="4" fillId="7" borderId="0" xfId="0" applyFont="1" applyFill="1" applyBorder="1" applyAlignment="1" applyProtection="1">
      <alignment horizontal="left" vertical="center"/>
    </xf>
    <xf numFmtId="0" fontId="0" fillId="0" borderId="0" xfId="0" applyFont="1" applyFill="1" applyAlignment="1">
      <alignment horizontal="right"/>
    </xf>
    <xf numFmtId="0" fontId="20" fillId="7" borderId="0" xfId="0" applyFont="1" applyFill="1" applyBorder="1" applyAlignment="1" applyProtection="1">
      <alignment horizontal="center" vertical="center"/>
    </xf>
    <xf numFmtId="0" fontId="3" fillId="7" borderId="30" xfId="0" applyFont="1" applyFill="1" applyBorder="1" applyAlignment="1" applyProtection="1">
      <alignment vertical="center"/>
    </xf>
    <xf numFmtId="165" fontId="3" fillId="7" borderId="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center" vertical="center"/>
    </xf>
    <xf numFmtId="0" fontId="11" fillId="7" borderId="0" xfId="0" applyFont="1" applyFill="1" applyBorder="1" applyAlignment="1" applyProtection="1">
      <alignment vertical="center"/>
    </xf>
    <xf numFmtId="0" fontId="11" fillId="7" borderId="30" xfId="0" applyFont="1" applyFill="1" applyBorder="1" applyAlignment="1" applyProtection="1">
      <alignment horizontal="left" vertical="center"/>
    </xf>
    <xf numFmtId="0" fontId="0" fillId="7" borderId="0" xfId="0" applyFont="1" applyFill="1" applyBorder="1" applyAlignment="1" applyProtection="1">
      <alignment vertical="center"/>
    </xf>
    <xf numFmtId="0" fontId="0" fillId="7" borderId="0" xfId="0" applyFont="1" applyFill="1" applyAlignment="1" applyProtection="1">
      <alignment vertical="center"/>
    </xf>
    <xf numFmtId="0" fontId="0" fillId="7" borderId="15" xfId="0" applyFont="1" applyFill="1" applyBorder="1" applyAlignment="1" applyProtection="1">
      <alignment horizontal="center" vertical="center"/>
    </xf>
    <xf numFmtId="0" fontId="0" fillId="7" borderId="15" xfId="0" applyFill="1" applyBorder="1" applyAlignment="1" applyProtection="1">
      <alignment horizontal="center" vertical="center"/>
    </xf>
    <xf numFmtId="165" fontId="4" fillId="3" borderId="38" xfId="0" applyNumberFormat="1" applyFont="1" applyFill="1" applyBorder="1" applyAlignment="1" applyProtection="1">
      <alignment horizontal="center" vertical="center"/>
    </xf>
    <xf numFmtId="165" fontId="0" fillId="7" borderId="0" xfId="0" applyNumberFormat="1" applyFill="1" applyAlignment="1" applyProtection="1">
      <alignment horizontal="center"/>
    </xf>
    <xf numFmtId="0" fontId="0" fillId="7" borderId="1" xfId="0" applyFill="1" applyBorder="1" applyAlignment="1" applyProtection="1">
      <alignment vertical="center"/>
    </xf>
    <xf numFmtId="0" fontId="4" fillId="7" borderId="0" xfId="0" applyFont="1" applyFill="1" applyBorder="1" applyAlignment="1" applyProtection="1">
      <alignment vertical="center"/>
    </xf>
    <xf numFmtId="0" fontId="1" fillId="7" borderId="0" xfId="0" applyFont="1" applyFill="1" applyBorder="1" applyAlignment="1" applyProtection="1">
      <alignment horizontal="center" vertical="center"/>
      <protection hidden="1"/>
    </xf>
    <xf numFmtId="165" fontId="26" fillId="4" borderId="24" xfId="0" applyNumberFormat="1" applyFont="1" applyFill="1" applyBorder="1" applyAlignment="1" applyProtection="1">
      <alignment horizontal="center" vertical="center"/>
    </xf>
    <xf numFmtId="165" fontId="26" fillId="2" borderId="24" xfId="0" applyNumberFormat="1" applyFont="1" applyFill="1" applyBorder="1" applyAlignment="1" applyProtection="1">
      <alignment horizontal="center" vertical="center"/>
      <protection locked="0"/>
    </xf>
    <xf numFmtId="0" fontId="3" fillId="0" borderId="0" xfId="0" applyFont="1" applyBorder="1"/>
    <xf numFmtId="165" fontId="4" fillId="3" borderId="17" xfId="0" applyNumberFormat="1" applyFont="1" applyFill="1" applyBorder="1" applyAlignment="1" applyProtection="1">
      <alignment horizontal="center" vertical="center"/>
    </xf>
    <xf numFmtId="165" fontId="4" fillId="3" borderId="18" xfId="0" applyNumberFormat="1" applyFont="1" applyFill="1" applyBorder="1" applyAlignment="1" applyProtection="1">
      <alignment horizontal="center" vertical="center"/>
    </xf>
    <xf numFmtId="165" fontId="4" fillId="3" borderId="19" xfId="0" applyNumberFormat="1" applyFont="1" applyFill="1" applyBorder="1" applyAlignment="1" applyProtection="1">
      <alignment horizontal="center" vertical="center"/>
    </xf>
    <xf numFmtId="165" fontId="4" fillId="3" borderId="25" xfId="0" applyNumberFormat="1" applyFont="1" applyFill="1" applyBorder="1" applyAlignment="1" applyProtection="1">
      <alignment horizontal="center" vertical="center"/>
    </xf>
    <xf numFmtId="165" fontId="4" fillId="3" borderId="26" xfId="0" applyNumberFormat="1" applyFont="1" applyFill="1" applyBorder="1" applyAlignment="1" applyProtection="1">
      <alignment horizontal="center" vertical="center"/>
    </xf>
    <xf numFmtId="165" fontId="4" fillId="3" borderId="16" xfId="0" applyNumberFormat="1" applyFont="1" applyFill="1" applyBorder="1" applyAlignment="1" applyProtection="1">
      <alignment horizontal="center" vertical="center"/>
    </xf>
    <xf numFmtId="165" fontId="4" fillId="3" borderId="25" xfId="0" applyNumberFormat="1" applyFont="1" applyFill="1" applyBorder="1" applyAlignment="1" applyProtection="1">
      <alignment horizontal="left" vertical="center"/>
    </xf>
    <xf numFmtId="165" fontId="4" fillId="3" borderId="24" xfId="0" applyNumberFormat="1" applyFont="1" applyFill="1" applyBorder="1" applyAlignment="1" applyProtection="1">
      <alignment horizontal="left" vertical="center"/>
    </xf>
    <xf numFmtId="0" fontId="1" fillId="7" borderId="25" xfId="0" applyFont="1" applyFill="1" applyBorder="1" applyAlignment="1" applyProtection="1">
      <alignment horizontal="right" vertical="center"/>
    </xf>
    <xf numFmtId="0" fontId="1" fillId="7" borderId="16" xfId="0" applyFont="1" applyFill="1" applyBorder="1" applyAlignment="1" applyProtection="1">
      <alignment horizontal="right" vertical="center"/>
    </xf>
    <xf numFmtId="0" fontId="1" fillId="7" borderId="24" xfId="0" applyFont="1" applyFill="1" applyBorder="1" applyAlignment="1" applyProtection="1">
      <alignment horizontal="right" vertical="center"/>
    </xf>
    <xf numFmtId="0" fontId="1" fillId="7" borderId="24" xfId="0" applyFont="1" applyFill="1" applyBorder="1" applyAlignment="1" applyProtection="1">
      <alignment horizontal="right" vertical="center" wrapText="1"/>
    </xf>
    <xf numFmtId="165" fontId="2" fillId="7" borderId="21" xfId="0" applyNumberFormat="1" applyFont="1" applyFill="1" applyBorder="1" applyAlignment="1" applyProtection="1">
      <alignment vertical="center"/>
    </xf>
    <xf numFmtId="165" fontId="11" fillId="7" borderId="20" xfId="0" applyNumberFormat="1" applyFont="1" applyFill="1" applyBorder="1" applyAlignment="1" applyProtection="1">
      <alignment vertical="center"/>
    </xf>
    <xf numFmtId="0" fontId="20" fillId="0" borderId="20" xfId="0" applyFont="1" applyFill="1" applyBorder="1" applyAlignment="1" applyProtection="1">
      <alignment vertical="center"/>
    </xf>
    <xf numFmtId="0" fontId="20" fillId="0" borderId="21" xfId="0" applyFont="1" applyFill="1" applyBorder="1" applyAlignment="1" applyProtection="1">
      <alignment vertical="center"/>
    </xf>
    <xf numFmtId="0" fontId="20" fillId="0" borderId="31" xfId="0" applyFont="1" applyFill="1" applyBorder="1" applyAlignment="1" applyProtection="1">
      <alignment vertical="center"/>
    </xf>
    <xf numFmtId="164" fontId="0" fillId="7" borderId="7" xfId="0" applyNumberFormat="1" applyFill="1" applyBorder="1" applyAlignment="1" applyProtection="1">
      <alignment horizontal="center" vertical="center"/>
    </xf>
    <xf numFmtId="164" fontId="0" fillId="7" borderId="7" xfId="0" applyNumberFormat="1" applyFont="1" applyFill="1" applyBorder="1" applyAlignment="1" applyProtection="1">
      <alignment horizontal="center" vertical="center"/>
    </xf>
    <xf numFmtId="0" fontId="0" fillId="7" borderId="0" xfId="0" applyFont="1" applyFill="1" applyAlignment="1" applyProtection="1">
      <alignment horizontal="center" vertical="center"/>
    </xf>
    <xf numFmtId="165" fontId="11" fillId="7" borderId="0" xfId="0" applyNumberFormat="1" applyFont="1" applyFill="1" applyBorder="1" applyAlignment="1" applyProtection="1">
      <alignment horizontal="center" vertical="center"/>
    </xf>
    <xf numFmtId="0" fontId="20" fillId="0" borderId="0" xfId="0" applyFont="1" applyFill="1" applyBorder="1" applyAlignment="1">
      <alignment horizontal="left"/>
    </xf>
    <xf numFmtId="165" fontId="4" fillId="0" borderId="21" xfId="0" applyNumberFormat="1" applyFont="1" applyFill="1" applyBorder="1" applyAlignment="1" applyProtection="1">
      <alignment horizontal="center" vertical="center"/>
    </xf>
    <xf numFmtId="0" fontId="0" fillId="7" borderId="0" xfId="0" applyFill="1" applyBorder="1" applyAlignment="1">
      <alignment vertical="center"/>
    </xf>
    <xf numFmtId="167" fontId="0" fillId="7" borderId="1" xfId="0" applyNumberFormat="1" applyFont="1" applyFill="1" applyBorder="1" applyAlignment="1" applyProtection="1">
      <alignment horizontal="center" vertical="center"/>
    </xf>
    <xf numFmtId="165" fontId="19" fillId="0" borderId="0" xfId="0" applyNumberFormat="1" applyFont="1" applyFill="1" applyBorder="1" applyAlignment="1" applyProtection="1">
      <alignment vertical="center"/>
    </xf>
    <xf numFmtId="165" fontId="4" fillId="0" borderId="0" xfId="0" applyNumberFormat="1" applyFont="1" applyFill="1" applyBorder="1" applyAlignment="1" applyProtection="1">
      <alignment horizontal="left" vertical="center"/>
    </xf>
    <xf numFmtId="165" fontId="0" fillId="0" borderId="0" xfId="0" applyNumberFormat="1" applyFont="1" applyFill="1" applyBorder="1" applyAlignment="1" applyProtection="1">
      <alignment vertical="center"/>
    </xf>
    <xf numFmtId="0" fontId="0" fillId="7" borderId="1" xfId="0" applyFill="1" applyBorder="1" applyAlignment="1" applyProtection="1">
      <alignment horizontal="center" vertical="center"/>
    </xf>
    <xf numFmtId="0" fontId="11" fillId="7" borderId="0" xfId="0" applyFont="1" applyFill="1" applyBorder="1" applyAlignment="1" applyProtection="1">
      <alignment horizontal="center" vertical="center"/>
    </xf>
    <xf numFmtId="165" fontId="0" fillId="7" borderId="0" xfId="0" applyNumberFormat="1" applyFill="1" applyBorder="1" applyAlignment="1" applyProtection="1">
      <alignment vertical="center"/>
    </xf>
    <xf numFmtId="0" fontId="0" fillId="0" borderId="1" xfId="0" applyBorder="1" applyAlignment="1">
      <alignment horizontal="center"/>
    </xf>
    <xf numFmtId="167" fontId="11" fillId="3" borderId="19" xfId="0" applyNumberFormat="1" applyFont="1" applyFill="1" applyBorder="1" applyAlignment="1" applyProtection="1">
      <alignment horizontal="center" vertical="center"/>
    </xf>
    <xf numFmtId="0" fontId="23" fillId="7" borderId="0" xfId="0" applyFont="1" applyFill="1" applyBorder="1" applyAlignment="1" applyProtection="1">
      <alignment vertical="center"/>
    </xf>
    <xf numFmtId="0" fontId="2" fillId="7" borderId="0"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168" fontId="1" fillId="0" borderId="0" xfId="0" applyNumberFormat="1" applyFont="1" applyFill="1" applyAlignment="1" applyProtection="1">
      <alignment horizontal="center"/>
    </xf>
    <xf numFmtId="168" fontId="1" fillId="0" borderId="0" xfId="0" applyNumberFormat="1" applyFont="1" applyFill="1" applyBorder="1" applyAlignment="1" applyProtection="1">
      <alignment horizont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protection locked="0"/>
    </xf>
    <xf numFmtId="0" fontId="0" fillId="7" borderId="1" xfId="0" applyFill="1" applyBorder="1" applyAlignment="1" applyProtection="1">
      <alignment horizontal="center"/>
    </xf>
    <xf numFmtId="0" fontId="2" fillId="7" borderId="0" xfId="0" applyFont="1" applyFill="1" applyBorder="1" applyAlignment="1" applyProtection="1">
      <alignment vertical="center"/>
    </xf>
    <xf numFmtId="0" fontId="2" fillId="7" borderId="31" xfId="0" applyFont="1" applyFill="1" applyBorder="1" applyAlignment="1" applyProtection="1">
      <alignment vertical="center"/>
    </xf>
    <xf numFmtId="165" fontId="2" fillId="7" borderId="24" xfId="0" applyNumberFormat="1" applyFont="1" applyFill="1" applyBorder="1" applyAlignment="1" applyProtection="1">
      <alignment horizontal="center" vertical="center"/>
    </xf>
    <xf numFmtId="165" fontId="1" fillId="7" borderId="24" xfId="0" applyNumberFormat="1"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65" fontId="26" fillId="2" borderId="33" xfId="0" applyNumberFormat="1" applyFont="1" applyFill="1" applyBorder="1" applyAlignment="1" applyProtection="1">
      <alignment horizontal="center" vertical="center"/>
      <protection locked="0"/>
    </xf>
    <xf numFmtId="165" fontId="26" fillId="2" borderId="44" xfId="0" applyNumberFormat="1" applyFont="1" applyFill="1" applyBorder="1" applyAlignment="1" applyProtection="1">
      <alignment horizontal="center" vertical="center"/>
      <protection locked="0"/>
    </xf>
    <xf numFmtId="165" fontId="26" fillId="2" borderId="45" xfId="0" applyNumberFormat="1" applyFont="1" applyFill="1" applyBorder="1" applyAlignment="1" applyProtection="1">
      <alignment horizontal="center" vertical="center"/>
      <protection locked="0"/>
    </xf>
    <xf numFmtId="165" fontId="26" fillId="2" borderId="35" xfId="0" applyNumberFormat="1" applyFont="1" applyFill="1" applyBorder="1" applyAlignment="1" applyProtection="1">
      <alignment horizontal="center" vertical="center"/>
      <protection locked="0"/>
    </xf>
    <xf numFmtId="165" fontId="26" fillId="2" borderId="18"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xf>
    <xf numFmtId="1" fontId="0" fillId="7" borderId="9" xfId="0" applyNumberFormat="1" applyFill="1" applyBorder="1" applyAlignment="1" applyProtection="1">
      <alignment horizontal="center"/>
    </xf>
    <xf numFmtId="1" fontId="0" fillId="7" borderId="10" xfId="0" applyNumberFormat="1" applyFill="1" applyBorder="1" applyAlignment="1" applyProtection="1">
      <alignment horizontal="center"/>
    </xf>
    <xf numFmtId="1" fontId="0" fillId="7" borderId="1" xfId="0" applyNumberFormat="1" applyFill="1" applyBorder="1" applyAlignment="1" applyProtection="1">
      <alignment horizontal="center"/>
    </xf>
    <xf numFmtId="1" fontId="0" fillId="0" borderId="0" xfId="0" applyNumberFormat="1" applyFont="1" applyAlignment="1" applyProtection="1">
      <alignment horizontal="center"/>
    </xf>
    <xf numFmtId="172" fontId="4" fillId="7" borderId="0" xfId="0" applyNumberFormat="1" applyFont="1" applyFill="1" applyBorder="1" applyAlignment="1" applyProtection="1">
      <alignment horizontal="left"/>
    </xf>
    <xf numFmtId="173" fontId="4" fillId="7" borderId="0" xfId="0" applyNumberFormat="1" applyFont="1" applyFill="1" applyBorder="1" applyAlignment="1" applyProtection="1">
      <alignment horizontal="left"/>
    </xf>
    <xf numFmtId="173" fontId="4" fillId="7" borderId="0" xfId="0" applyNumberFormat="1" applyFont="1" applyFill="1" applyAlignment="1" applyProtection="1">
      <alignment horizontal="left"/>
    </xf>
    <xf numFmtId="171" fontId="0" fillId="0" borderId="0" xfId="0" applyNumberFormat="1" applyAlignment="1">
      <alignment horizontal="center"/>
    </xf>
    <xf numFmtId="0" fontId="0" fillId="6" borderId="14" xfId="0" applyFont="1" applyFill="1" applyBorder="1" applyAlignment="1">
      <alignment vertical="top"/>
    </xf>
    <xf numFmtId="0" fontId="1" fillId="0" borderId="0" xfId="0" applyFont="1" applyFill="1" applyAlignment="1">
      <alignment horizontal="center"/>
    </xf>
    <xf numFmtId="167" fontId="1" fillId="7" borderId="0" xfId="0" applyNumberFormat="1" applyFont="1" applyFill="1" applyBorder="1" applyAlignment="1" applyProtection="1">
      <alignment horizontal="center" vertical="center"/>
    </xf>
    <xf numFmtId="0" fontId="0" fillId="6" borderId="14" xfId="0" applyFont="1" applyFill="1" applyBorder="1" applyAlignment="1">
      <alignment vertical="center"/>
    </xf>
    <xf numFmtId="0" fontId="0" fillId="6" borderId="6" xfId="0" applyFont="1" applyFill="1" applyBorder="1" applyAlignment="1">
      <alignment vertical="center"/>
    </xf>
    <xf numFmtId="0" fontId="0" fillId="6" borderId="11" xfId="0" applyFont="1" applyFill="1" applyBorder="1" applyAlignment="1">
      <alignment vertical="center"/>
    </xf>
    <xf numFmtId="0" fontId="0" fillId="6" borderId="8" xfId="0" applyFont="1" applyFill="1" applyBorder="1" applyAlignment="1">
      <alignment vertical="center"/>
    </xf>
    <xf numFmtId="0" fontId="1"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6" borderId="12" xfId="0" applyFont="1" applyFill="1" applyBorder="1" applyAlignment="1">
      <alignment horizontal="left" vertical="center"/>
    </xf>
    <xf numFmtId="0" fontId="0" fillId="6" borderId="5" xfId="0" applyFont="1" applyFill="1" applyBorder="1" applyAlignment="1">
      <alignment vertical="center"/>
    </xf>
    <xf numFmtId="0" fontId="1" fillId="0" borderId="0" xfId="0" applyFont="1" applyFill="1" applyAlignment="1"/>
    <xf numFmtId="165" fontId="0" fillId="0" borderId="3" xfId="0" applyNumberFormat="1" applyFont="1" applyFill="1" applyBorder="1" applyAlignment="1">
      <alignment horizontal="center"/>
    </xf>
    <xf numFmtId="165" fontId="0" fillId="0" borderId="11" xfId="0" applyNumberFormat="1" applyFont="1" applyFill="1" applyBorder="1" applyAlignment="1">
      <alignment horizontal="center"/>
    </xf>
    <xf numFmtId="165" fontId="0" fillId="0" borderId="4" xfId="0" applyNumberFormat="1" applyFont="1" applyFill="1" applyBorder="1" applyAlignment="1">
      <alignment horizontal="center"/>
    </xf>
    <xf numFmtId="165" fontId="0" fillId="0" borderId="12"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13" xfId="0" applyNumberFormat="1" applyFont="1" applyFill="1" applyBorder="1" applyAlignment="1">
      <alignment horizontal="center"/>
    </xf>
    <xf numFmtId="165" fontId="0" fillId="0" borderId="5" xfId="0" applyNumberFormat="1" applyFont="1" applyFill="1" applyBorder="1" applyAlignment="1">
      <alignment horizontal="center"/>
    </xf>
    <xf numFmtId="165" fontId="0" fillId="0" borderId="14" xfId="0" applyNumberFormat="1" applyFont="1" applyFill="1" applyBorder="1" applyAlignment="1">
      <alignment horizontal="center"/>
    </xf>
    <xf numFmtId="165" fontId="0" fillId="0" borderId="6" xfId="0" applyNumberFormat="1" applyFont="1" applyFill="1" applyBorder="1" applyAlignment="1">
      <alignment horizontal="center"/>
    </xf>
    <xf numFmtId="165" fontId="0" fillId="7" borderId="11" xfId="0" applyNumberFormat="1" applyFill="1" applyBorder="1" applyAlignment="1">
      <alignment horizontal="center"/>
    </xf>
    <xf numFmtId="165" fontId="0" fillId="7" borderId="4" xfId="0" applyNumberFormat="1" applyFont="1" applyFill="1" applyBorder="1" applyAlignment="1">
      <alignment horizontal="center"/>
    </xf>
    <xf numFmtId="165" fontId="0" fillId="7" borderId="13" xfId="0" applyNumberFormat="1" applyFont="1" applyFill="1" applyBorder="1" applyAlignment="1">
      <alignment horizontal="center"/>
    </xf>
    <xf numFmtId="165" fontId="0" fillId="7" borderId="14" xfId="0" applyNumberFormat="1" applyFill="1" applyBorder="1" applyAlignment="1">
      <alignment horizontal="center"/>
    </xf>
    <xf numFmtId="165" fontId="0" fillId="7" borderId="6" xfId="0" applyNumberFormat="1" applyFont="1" applyFill="1" applyBorder="1" applyAlignment="1">
      <alignment horizontal="center"/>
    </xf>
    <xf numFmtId="165" fontId="18" fillId="0" borderId="0" xfId="0" applyNumberFormat="1" applyFont="1" applyFill="1" applyAlignment="1">
      <alignment horizontal="center" vertical="center" wrapText="1"/>
    </xf>
    <xf numFmtId="167" fontId="1" fillId="0" borderId="27" xfId="0" applyNumberFormat="1" applyFont="1" applyFill="1" applyBorder="1" applyAlignment="1" applyProtection="1">
      <alignment horizontal="center"/>
    </xf>
    <xf numFmtId="167" fontId="1" fillId="0" borderId="28" xfId="0" applyNumberFormat="1" applyFont="1" applyFill="1" applyBorder="1" applyAlignment="1" applyProtection="1">
      <alignment horizontal="center"/>
    </xf>
    <xf numFmtId="167" fontId="1" fillId="0" borderId="29" xfId="0" applyNumberFormat="1" applyFont="1" applyFill="1" applyBorder="1" applyAlignment="1" applyProtection="1">
      <alignment horizontal="center"/>
    </xf>
    <xf numFmtId="167" fontId="1" fillId="0" borderId="30" xfId="0" applyNumberFormat="1" applyFont="1" applyFill="1" applyBorder="1" applyAlignment="1" applyProtection="1">
      <alignment horizontal="center"/>
    </xf>
    <xf numFmtId="167" fontId="1" fillId="0" borderId="31" xfId="0" applyNumberFormat="1" applyFont="1" applyFill="1" applyBorder="1" applyAlignment="1" applyProtection="1">
      <alignment horizontal="center"/>
    </xf>
    <xf numFmtId="167" fontId="1" fillId="0" borderId="20" xfId="0" applyNumberFormat="1" applyFont="1" applyFill="1" applyBorder="1" applyAlignment="1" applyProtection="1">
      <alignment horizontal="center"/>
    </xf>
    <xf numFmtId="167" fontId="1" fillId="0" borderId="21" xfId="0" applyNumberFormat="1" applyFont="1" applyFill="1" applyBorder="1" applyAlignment="1" applyProtection="1">
      <alignment horizontal="center"/>
    </xf>
    <xf numFmtId="167" fontId="1" fillId="0" borderId="32" xfId="0" applyNumberFormat="1" applyFont="1" applyFill="1" applyBorder="1" applyAlignment="1" applyProtection="1">
      <alignment horizontal="center"/>
    </xf>
    <xf numFmtId="0" fontId="27" fillId="7" borderId="0" xfId="0" applyFont="1" applyFill="1" applyProtection="1"/>
    <xf numFmtId="0" fontId="11" fillId="7" borderId="21" xfId="0" applyFont="1" applyFill="1" applyBorder="1" applyAlignment="1" applyProtection="1">
      <alignment vertical="center"/>
    </xf>
    <xf numFmtId="0" fontId="11" fillId="7" borderId="0" xfId="0" applyFont="1" applyFill="1" applyAlignment="1" applyProtection="1">
      <alignment vertical="center"/>
    </xf>
    <xf numFmtId="1" fontId="0" fillId="0" borderId="1" xfId="0" applyNumberFormat="1" applyBorder="1" applyAlignment="1">
      <alignment horizontal="center"/>
    </xf>
    <xf numFmtId="164" fontId="0" fillId="7" borderId="1" xfId="0" applyNumberFormat="1" applyFill="1" applyBorder="1" applyAlignment="1" applyProtection="1">
      <alignment horizontal="center" vertical="center"/>
    </xf>
    <xf numFmtId="0" fontId="2" fillId="7" borderId="33" xfId="0" applyFont="1" applyFill="1" applyBorder="1" applyAlignment="1" applyProtection="1">
      <alignment horizontal="center" vertical="center"/>
    </xf>
    <xf numFmtId="0" fontId="2" fillId="7" borderId="35" xfId="0" applyFont="1" applyFill="1" applyBorder="1" applyAlignment="1" applyProtection="1">
      <alignment horizontal="center" vertical="center"/>
    </xf>
    <xf numFmtId="0" fontId="1" fillId="7" borderId="0" xfId="0" applyFont="1" applyFill="1" applyAlignment="1">
      <alignment horizontal="center" vertical="center"/>
    </xf>
    <xf numFmtId="0" fontId="2" fillId="7" borderId="30" xfId="0" applyFont="1" applyFill="1" applyBorder="1" applyAlignment="1" applyProtection="1">
      <alignment horizontal="center" vertical="center"/>
    </xf>
    <xf numFmtId="0" fontId="1" fillId="7" borderId="31" xfId="0" applyFont="1" applyFill="1" applyBorder="1" applyAlignment="1" applyProtection="1">
      <alignment horizontal="center" vertical="center"/>
    </xf>
    <xf numFmtId="0" fontId="1" fillId="7" borderId="0" xfId="0" applyFont="1" applyFill="1" applyBorder="1" applyAlignment="1" applyProtection="1">
      <alignment horizontal="left" vertical="center"/>
    </xf>
    <xf numFmtId="0" fontId="4" fillId="7" borderId="31" xfId="0" applyFont="1" applyFill="1" applyBorder="1" applyAlignment="1" applyProtection="1">
      <alignment horizontal="center" vertical="center"/>
    </xf>
    <xf numFmtId="167" fontId="1" fillId="2" borderId="24" xfId="0" applyNumberFormat="1" applyFont="1" applyFill="1" applyBorder="1" applyAlignment="1" applyProtection="1">
      <alignment horizontal="center" vertical="center"/>
      <protection locked="0"/>
    </xf>
    <xf numFmtId="167" fontId="4" fillId="7" borderId="31" xfId="0" applyNumberFormat="1" applyFont="1" applyFill="1" applyBorder="1" applyAlignment="1" applyProtection="1">
      <alignment horizontal="center" vertical="center"/>
    </xf>
    <xf numFmtId="167" fontId="4" fillId="3" borderId="21" xfId="0" applyNumberFormat="1" applyFont="1" applyFill="1" applyBorder="1" applyAlignment="1" applyProtection="1">
      <alignment horizontal="center" vertical="center"/>
    </xf>
    <xf numFmtId="167" fontId="4" fillId="3" borderId="17" xfId="0" applyNumberFormat="1" applyFont="1" applyFill="1" applyBorder="1" applyAlignment="1" applyProtection="1">
      <alignment horizontal="center" vertical="center"/>
    </xf>
    <xf numFmtId="167" fontId="11" fillId="7" borderId="0" xfId="0" applyNumberFormat="1" applyFont="1" applyFill="1" applyBorder="1" applyAlignment="1" applyProtection="1">
      <alignment horizontal="center" vertical="center"/>
    </xf>
    <xf numFmtId="0" fontId="4" fillId="7" borderId="31" xfId="0" applyFont="1" applyFill="1" applyBorder="1" applyAlignment="1" applyProtection="1">
      <alignment vertical="center"/>
    </xf>
    <xf numFmtId="0" fontId="11" fillId="7" borderId="30" xfId="0" applyFont="1" applyFill="1" applyBorder="1" applyAlignment="1" applyProtection="1">
      <alignment vertical="center"/>
    </xf>
    <xf numFmtId="166" fontId="0" fillId="7" borderId="0" xfId="0" applyNumberFormat="1" applyFill="1" applyBorder="1" applyAlignment="1" applyProtection="1">
      <alignment vertical="center"/>
    </xf>
    <xf numFmtId="166" fontId="11" fillId="7" borderId="0" xfId="0" applyNumberFormat="1" applyFont="1" applyFill="1" applyBorder="1" applyAlignment="1" applyProtection="1">
      <alignment vertical="center"/>
    </xf>
    <xf numFmtId="0" fontId="12" fillId="7" borderId="0" xfId="0" applyFont="1" applyFill="1" applyBorder="1" applyAlignment="1" applyProtection="1">
      <alignment vertical="center"/>
    </xf>
    <xf numFmtId="0" fontId="0" fillId="7" borderId="31" xfId="0" applyFont="1" applyFill="1" applyBorder="1" applyAlignment="1" applyProtection="1">
      <alignment vertical="center"/>
    </xf>
    <xf numFmtId="0" fontId="0" fillId="7" borderId="30" xfId="0" applyFont="1" applyFill="1" applyBorder="1" applyAlignment="1" applyProtection="1">
      <alignment vertical="center"/>
    </xf>
    <xf numFmtId="0" fontId="19" fillId="7" borderId="31" xfId="0" applyFont="1" applyFill="1" applyBorder="1" applyAlignment="1" applyProtection="1">
      <alignment vertical="center"/>
    </xf>
    <xf numFmtId="0" fontId="19" fillId="7" borderId="30" xfId="0" applyFont="1" applyFill="1" applyBorder="1" applyAlignment="1" applyProtection="1">
      <alignment vertical="center"/>
    </xf>
    <xf numFmtId="0" fontId="2" fillId="7" borderId="30" xfId="0" applyFont="1" applyFill="1" applyBorder="1" applyAlignment="1" applyProtection="1">
      <alignment horizontal="right" vertical="center"/>
    </xf>
    <xf numFmtId="0" fontId="0" fillId="7" borderId="31" xfId="0" applyFont="1" applyFill="1" applyBorder="1" applyAlignment="1" applyProtection="1">
      <alignment horizontal="center" vertical="center"/>
    </xf>
    <xf numFmtId="168" fontId="11" fillId="7" borderId="17" xfId="0" applyNumberFormat="1" applyFont="1" applyFill="1" applyBorder="1" applyAlignment="1" applyProtection="1">
      <alignment vertical="center"/>
    </xf>
    <xf numFmtId="168" fontId="11" fillId="7" borderId="19" xfId="0" applyNumberFormat="1" applyFont="1" applyFill="1" applyBorder="1" applyAlignment="1" applyProtection="1">
      <alignment vertical="center"/>
    </xf>
    <xf numFmtId="0" fontId="1" fillId="3" borderId="32" xfId="0" applyFont="1" applyFill="1" applyBorder="1" applyAlignment="1" applyProtection="1">
      <alignment horizontal="center" vertical="center"/>
    </xf>
    <xf numFmtId="166" fontId="1" fillId="7" borderId="16" xfId="0" applyNumberFormat="1" applyFont="1" applyFill="1" applyBorder="1" applyAlignment="1" applyProtection="1">
      <alignment horizontal="center" vertical="center"/>
    </xf>
    <xf numFmtId="167" fontId="1" fillId="7" borderId="25" xfId="0" applyNumberFormat="1" applyFont="1" applyFill="1" applyBorder="1" applyAlignment="1" applyProtection="1">
      <alignment horizontal="center" vertical="center"/>
    </xf>
    <xf numFmtId="1" fontId="1" fillId="7" borderId="25" xfId="0" applyNumberFormat="1" applyFont="1" applyFill="1" applyBorder="1" applyAlignment="1" applyProtection="1">
      <alignment horizontal="center" vertical="center"/>
    </xf>
    <xf numFmtId="167" fontId="1" fillId="7" borderId="26" xfId="0" applyNumberFormat="1" applyFont="1" applyFill="1" applyBorder="1" applyAlignment="1" applyProtection="1">
      <alignment horizontal="center" vertical="center"/>
    </xf>
    <xf numFmtId="1" fontId="1" fillId="7" borderId="26" xfId="0" applyNumberFormat="1" applyFont="1" applyFill="1" applyBorder="1" applyAlignment="1" applyProtection="1">
      <alignment horizontal="center" vertical="center"/>
    </xf>
    <xf numFmtId="167" fontId="1" fillId="7" borderId="16" xfId="0" applyNumberFormat="1" applyFont="1" applyFill="1" applyBorder="1" applyAlignment="1" applyProtection="1">
      <alignment horizontal="center" vertical="center"/>
    </xf>
    <xf numFmtId="1" fontId="1" fillId="7" borderId="16" xfId="0" applyNumberFormat="1" applyFont="1" applyFill="1" applyBorder="1" applyAlignment="1" applyProtection="1">
      <alignment horizontal="center" vertical="center"/>
    </xf>
    <xf numFmtId="168" fontId="11" fillId="7" borderId="0" xfId="0" applyNumberFormat="1" applyFont="1" applyFill="1" applyBorder="1" applyAlignment="1" applyProtection="1">
      <alignment horizontal="center" vertical="center"/>
    </xf>
    <xf numFmtId="168" fontId="11" fillId="7" borderId="0" xfId="0" applyNumberFormat="1" applyFont="1" applyFill="1" applyBorder="1" applyAlignment="1" applyProtection="1">
      <alignment horizontal="left" vertical="center"/>
    </xf>
    <xf numFmtId="49" fontId="1" fillId="7" borderId="24" xfId="0" applyNumberFormat="1" applyFont="1" applyFill="1" applyBorder="1" applyAlignment="1" applyProtection="1">
      <alignment horizontal="center" vertical="center"/>
    </xf>
    <xf numFmtId="167" fontId="0" fillId="7" borderId="0" xfId="0" applyNumberFormat="1" applyFont="1" applyFill="1" applyBorder="1" applyAlignment="1" applyProtection="1">
      <alignment vertical="center"/>
    </xf>
    <xf numFmtId="2" fontId="17" fillId="0" borderId="0" xfId="0" applyNumberFormat="1" applyFont="1" applyFill="1" applyAlignment="1">
      <alignment horizontal="center" vertical="center" wrapText="1"/>
    </xf>
    <xf numFmtId="0" fontId="19" fillId="7" borderId="12" xfId="0" applyFont="1" applyFill="1" applyBorder="1" applyAlignment="1">
      <alignment horizontal="right" vertical="center"/>
    </xf>
    <xf numFmtId="49" fontId="0" fillId="7" borderId="0" xfId="0" applyNumberFormat="1" applyFont="1" applyFill="1" applyAlignment="1">
      <alignment horizontal="right" vertical="center"/>
    </xf>
    <xf numFmtId="0" fontId="0" fillId="6" borderId="0" xfId="0" applyFont="1" applyFill="1" applyBorder="1" applyAlignment="1">
      <alignment vertical="center" wrapText="1"/>
    </xf>
    <xf numFmtId="0" fontId="0" fillId="6" borderId="41" xfId="0" applyFill="1" applyBorder="1" applyAlignment="1">
      <alignment vertical="center"/>
    </xf>
    <xf numFmtId="0" fontId="0" fillId="6" borderId="42" xfId="0" applyFill="1" applyBorder="1" applyAlignment="1">
      <alignment vertical="center"/>
    </xf>
    <xf numFmtId="0" fontId="0" fillId="6" borderId="43" xfId="0" applyFill="1" applyBorder="1" applyAlignment="1">
      <alignment vertical="center"/>
    </xf>
    <xf numFmtId="0" fontId="0" fillId="6" borderId="40" xfId="0" applyFill="1" applyBorder="1" applyAlignment="1">
      <alignment vertical="center"/>
    </xf>
    <xf numFmtId="0" fontId="1" fillId="6" borderId="47" xfId="0" applyFont="1" applyFill="1" applyBorder="1" applyAlignment="1">
      <alignment vertical="top"/>
    </xf>
    <xf numFmtId="0" fontId="1" fillId="6" borderId="48" xfId="0" applyFont="1" applyFill="1" applyBorder="1" applyAlignment="1">
      <alignment vertical="top"/>
    </xf>
    <xf numFmtId="0" fontId="1" fillId="6" borderId="49" xfId="0" applyFont="1" applyFill="1" applyBorder="1" applyAlignment="1">
      <alignment vertical="top"/>
    </xf>
    <xf numFmtId="0" fontId="1" fillId="6" borderId="46" xfId="0" applyFont="1" applyFill="1" applyBorder="1" applyAlignment="1">
      <alignment horizontal="left" vertical="center"/>
    </xf>
    <xf numFmtId="0" fontId="0" fillId="6" borderId="14" xfId="0" applyFont="1" applyFill="1" applyBorder="1" applyAlignment="1">
      <alignment vertical="center" wrapText="1"/>
    </xf>
    <xf numFmtId="0" fontId="1" fillId="6" borderId="15" xfId="0" applyFont="1" applyFill="1" applyBorder="1" applyAlignment="1">
      <alignment vertical="center"/>
    </xf>
    <xf numFmtId="0" fontId="28" fillId="6" borderId="0" xfId="0" applyFont="1" applyFill="1" applyBorder="1" applyAlignment="1">
      <alignment vertical="center"/>
    </xf>
    <xf numFmtId="0" fontId="28" fillId="6" borderId="11" xfId="0" applyFont="1" applyFill="1" applyBorder="1" applyAlignment="1">
      <alignment vertical="center"/>
    </xf>
    <xf numFmtId="0" fontId="3" fillId="6" borderId="15" xfId="0" applyFont="1" applyFill="1" applyBorder="1" applyAlignment="1">
      <alignment vertical="center"/>
    </xf>
    <xf numFmtId="0" fontId="3" fillId="6" borderId="8" xfId="0" applyFont="1" applyFill="1" applyBorder="1" applyAlignment="1">
      <alignment vertical="center"/>
    </xf>
    <xf numFmtId="0" fontId="3" fillId="6" borderId="1" xfId="0" applyFont="1" applyFill="1" applyBorder="1" applyAlignment="1">
      <alignment horizontal="center" vertical="center"/>
    </xf>
    <xf numFmtId="0" fontId="0" fillId="6" borderId="8" xfId="0" applyFill="1" applyBorder="1" applyAlignment="1">
      <alignment vertical="center"/>
    </xf>
    <xf numFmtId="0" fontId="0" fillId="6" borderId="7" xfId="0" applyFill="1" applyBorder="1" applyAlignment="1">
      <alignment vertical="center"/>
    </xf>
    <xf numFmtId="0" fontId="3" fillId="6" borderId="1" xfId="0" applyFont="1" applyFill="1" applyBorder="1" applyAlignment="1">
      <alignment horizontal="left" vertical="center"/>
    </xf>
    <xf numFmtId="0" fontId="2" fillId="6" borderId="12"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lignment horizontal="left" vertical="center"/>
    </xf>
    <xf numFmtId="0" fontId="29" fillId="6" borderId="0" xfId="0" applyFont="1" applyFill="1" applyBorder="1" applyAlignment="1">
      <alignment vertical="center"/>
    </xf>
    <xf numFmtId="0" fontId="29" fillId="6" borderId="13" xfId="0" applyFont="1" applyFill="1" applyBorder="1" applyAlignment="1">
      <alignment vertical="center"/>
    </xf>
    <xf numFmtId="0" fontId="0" fillId="6" borderId="4" xfId="0" applyFont="1" applyFill="1" applyBorder="1" applyAlignment="1">
      <alignment vertical="center"/>
    </xf>
    <xf numFmtId="165" fontId="1" fillId="7" borderId="21" xfId="0" applyNumberFormat="1" applyFont="1" applyFill="1" applyBorder="1" applyAlignment="1" applyProtection="1">
      <alignment horizontal="center" vertical="center"/>
    </xf>
    <xf numFmtId="0" fontId="3" fillId="7" borderId="27" xfId="0" applyFont="1" applyFill="1" applyBorder="1" applyAlignment="1" applyProtection="1">
      <alignment horizontal="center" vertical="center"/>
    </xf>
    <xf numFmtId="0" fontId="3" fillId="7" borderId="28" xfId="0" applyFont="1" applyFill="1" applyBorder="1" applyAlignment="1" applyProtection="1">
      <alignment horizontal="center" vertical="center"/>
    </xf>
    <xf numFmtId="0" fontId="3" fillId="7" borderId="28" xfId="0" applyFont="1" applyFill="1" applyBorder="1" applyAlignment="1" applyProtection="1">
      <alignment vertical="center"/>
    </xf>
    <xf numFmtId="0" fontId="4" fillId="7" borderId="32" xfId="0" applyFont="1" applyFill="1" applyBorder="1" applyAlignment="1" applyProtection="1">
      <alignment horizontal="right" vertical="center"/>
    </xf>
    <xf numFmtId="0" fontId="4" fillId="7" borderId="0" xfId="0" applyFont="1" applyFill="1" applyBorder="1" applyAlignment="1" applyProtection="1">
      <alignment horizontal="right" vertical="center"/>
    </xf>
    <xf numFmtId="167" fontId="4" fillId="3" borderId="18" xfId="0" applyNumberFormat="1" applyFont="1" applyFill="1" applyBorder="1" applyAlignment="1" applyProtection="1">
      <alignment horizontal="center" vertical="center"/>
    </xf>
    <xf numFmtId="0" fontId="4" fillId="7" borderId="21" xfId="0" applyFont="1" applyFill="1" applyBorder="1" applyAlignment="1" applyProtection="1">
      <alignment horizontal="right" vertical="center"/>
    </xf>
    <xf numFmtId="0" fontId="2" fillId="0" borderId="30" xfId="0" applyFont="1" applyFill="1" applyBorder="1" applyAlignment="1" applyProtection="1">
      <alignment vertical="center"/>
    </xf>
    <xf numFmtId="0" fontId="1" fillId="0" borderId="30" xfId="0" applyFont="1" applyFill="1" applyBorder="1" applyAlignment="1" applyProtection="1">
      <alignment vertical="center"/>
    </xf>
    <xf numFmtId="165" fontId="1" fillId="0" borderId="30" xfId="0" applyNumberFormat="1" applyFont="1" applyFill="1" applyBorder="1" applyAlignment="1" applyProtection="1">
      <alignment horizontal="center" vertical="center"/>
    </xf>
    <xf numFmtId="167" fontId="4" fillId="0" borderId="30"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1" fillId="0" borderId="30" xfId="0"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wrapText="1"/>
    </xf>
    <xf numFmtId="1" fontId="0" fillId="7" borderId="2" xfId="0" applyNumberFormat="1" applyFill="1" applyBorder="1" applyAlignment="1" applyProtection="1">
      <alignment horizontal="center" vertical="center"/>
    </xf>
    <xf numFmtId="1" fontId="0" fillId="7" borderId="9" xfId="0" applyNumberFormat="1" applyFill="1" applyBorder="1" applyAlignment="1" applyProtection="1">
      <alignment horizontal="center" vertical="center"/>
    </xf>
    <xf numFmtId="1" fontId="0" fillId="7" borderId="10" xfId="0" applyNumberFormat="1" applyFill="1" applyBorder="1" applyAlignment="1" applyProtection="1">
      <alignment horizontal="center" vertical="center"/>
    </xf>
    <xf numFmtId="0" fontId="20" fillId="7" borderId="20" xfId="0" applyFont="1" applyFill="1" applyBorder="1" applyAlignment="1" applyProtection="1">
      <alignment vertical="center"/>
    </xf>
    <xf numFmtId="0" fontId="20" fillId="7" borderId="21" xfId="0" applyFont="1" applyFill="1" applyBorder="1" applyAlignment="1" applyProtection="1">
      <alignment vertical="center"/>
    </xf>
    <xf numFmtId="0" fontId="20" fillId="7" borderId="32" xfId="0" applyFont="1" applyFill="1" applyBorder="1" applyAlignment="1" applyProtection="1">
      <alignment vertical="center"/>
    </xf>
    <xf numFmtId="165" fontId="4" fillId="0" borderId="30" xfId="0" applyNumberFormat="1" applyFont="1" applyFill="1" applyBorder="1" applyAlignment="1" applyProtection="1">
      <alignment horizontal="center" vertical="center"/>
    </xf>
    <xf numFmtId="165" fontId="4" fillId="0" borderId="31" xfId="0" applyNumberFormat="1" applyFont="1" applyFill="1" applyBorder="1" applyAlignment="1" applyProtection="1">
      <alignment horizontal="center" vertical="center"/>
    </xf>
    <xf numFmtId="167" fontId="4" fillId="7" borderId="31" xfId="0" applyNumberFormat="1" applyFont="1" applyFill="1" applyBorder="1" applyAlignment="1" applyProtection="1">
      <alignment horizontal="left" vertical="center"/>
    </xf>
    <xf numFmtId="165" fontId="4" fillId="7" borderId="31" xfId="0" applyNumberFormat="1" applyFont="1" applyFill="1" applyBorder="1" applyAlignment="1" applyProtection="1">
      <alignment horizontal="left" vertical="center"/>
    </xf>
    <xf numFmtId="0" fontId="0" fillId="7" borderId="20" xfId="0" applyFill="1" applyBorder="1" applyAlignment="1" applyProtection="1">
      <alignment horizontal="right" vertical="center"/>
    </xf>
    <xf numFmtId="0" fontId="0" fillId="7" borderId="21" xfId="0" applyFont="1" applyFill="1" applyBorder="1" applyAlignment="1" applyProtection="1">
      <alignment horizontal="center" vertical="center"/>
    </xf>
    <xf numFmtId="165" fontId="4" fillId="7" borderId="30" xfId="0" applyNumberFormat="1" applyFont="1" applyFill="1" applyBorder="1" applyAlignment="1" applyProtection="1">
      <alignment horizontal="left" vertical="center"/>
    </xf>
    <xf numFmtId="0" fontId="0" fillId="7" borderId="0" xfId="0" applyFont="1" applyFill="1" applyAlignment="1">
      <alignment horizontal="left" vertical="center"/>
    </xf>
    <xf numFmtId="49" fontId="0" fillId="7" borderId="0" xfId="0" applyNumberFormat="1" applyFont="1" applyFill="1" applyAlignment="1">
      <alignment vertical="center"/>
    </xf>
    <xf numFmtId="167" fontId="1" fillId="0" borderId="0" xfId="0" applyNumberFormat="1" applyFont="1" applyFill="1" applyBorder="1" applyAlignment="1" applyProtection="1">
      <alignment horizontal="left" vertical="center"/>
    </xf>
    <xf numFmtId="0" fontId="2" fillId="6" borderId="12" xfId="0" applyFont="1" applyFill="1" applyBorder="1" applyAlignment="1">
      <alignment horizontal="left" vertical="center"/>
    </xf>
    <xf numFmtId="0" fontId="2" fillId="6" borderId="0" xfId="0" applyFont="1" applyFill="1" applyBorder="1" applyAlignment="1">
      <alignment horizontal="left" vertical="center"/>
    </xf>
    <xf numFmtId="0" fontId="1" fillId="6" borderId="47" xfId="0" applyFont="1" applyFill="1" applyBorder="1" applyAlignment="1">
      <alignment horizontal="left" vertical="top"/>
    </xf>
    <xf numFmtId="0" fontId="1" fillId="6" borderId="48" xfId="0" applyFont="1" applyFill="1" applyBorder="1" applyAlignment="1">
      <alignment horizontal="left" vertical="top"/>
    </xf>
    <xf numFmtId="0" fontId="1" fillId="6" borderId="49" xfId="0" applyFont="1" applyFill="1" applyBorder="1" applyAlignment="1">
      <alignment horizontal="left" vertical="top"/>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43" xfId="0" applyFill="1" applyBorder="1" applyAlignment="1">
      <alignment horizontal="center" vertical="center"/>
    </xf>
    <xf numFmtId="0" fontId="20" fillId="6" borderId="15"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7" xfId="0" applyFont="1" applyFill="1" applyBorder="1" applyAlignment="1">
      <alignment horizontal="center" vertical="center"/>
    </xf>
    <xf numFmtId="0" fontId="1" fillId="7" borderId="0" xfId="0" applyFont="1" applyFill="1" applyBorder="1" applyAlignment="1" applyProtection="1">
      <alignment horizontal="center" vertical="center"/>
    </xf>
    <xf numFmtId="0" fontId="1" fillId="7" borderId="31" xfId="0" applyFont="1" applyFill="1" applyBorder="1" applyAlignment="1" applyProtection="1">
      <alignment horizontal="center" vertical="center"/>
    </xf>
    <xf numFmtId="0" fontId="2" fillId="7" borderId="27" xfId="0"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0" fillId="5" borderId="17" xfId="0"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0" fontId="20" fillId="5" borderId="19"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0" fontId="2" fillId="7" borderId="19" xfId="0" applyFont="1" applyFill="1" applyBorder="1" applyAlignment="1" applyProtection="1">
      <alignment horizontal="center" vertical="center"/>
    </xf>
    <xf numFmtId="165" fontId="2" fillId="7" borderId="21" xfId="0" applyNumberFormat="1" applyFont="1" applyFill="1" applyBorder="1" applyAlignment="1" applyProtection="1">
      <alignment horizontal="center" vertical="center"/>
    </xf>
    <xf numFmtId="0" fontId="2" fillId="7" borderId="33" xfId="0" applyFont="1" applyFill="1" applyBorder="1" applyAlignment="1" applyProtection="1">
      <alignment horizontal="center" vertical="center"/>
    </xf>
    <xf numFmtId="0" fontId="2" fillId="7" borderId="35" xfId="0" applyFont="1" applyFill="1" applyBorder="1" applyAlignment="1" applyProtection="1">
      <alignment horizontal="center" vertical="center"/>
    </xf>
    <xf numFmtId="0" fontId="3" fillId="7" borderId="33" xfId="0" applyFont="1" applyFill="1" applyBorder="1" applyAlignment="1" applyProtection="1">
      <alignment horizontal="center" vertical="center"/>
    </xf>
    <xf numFmtId="0" fontId="3" fillId="7" borderId="34" xfId="0" applyFont="1" applyFill="1" applyBorder="1" applyAlignment="1" applyProtection="1">
      <alignment horizontal="center" vertical="center"/>
    </xf>
    <xf numFmtId="0" fontId="3" fillId="7" borderId="35" xfId="0" applyFont="1" applyFill="1" applyBorder="1" applyAlignment="1" applyProtection="1">
      <alignment horizontal="center" vertical="center"/>
    </xf>
    <xf numFmtId="165" fontId="2" fillId="7" borderId="17" xfId="0" applyNumberFormat="1" applyFont="1" applyFill="1" applyBorder="1" applyAlignment="1" applyProtection="1">
      <alignment horizontal="center" vertical="center"/>
    </xf>
    <xf numFmtId="165" fontId="2" fillId="7" borderId="19" xfId="0" applyNumberFormat="1" applyFont="1" applyFill="1" applyBorder="1" applyAlignment="1" applyProtection="1">
      <alignment horizontal="center" vertical="center"/>
    </xf>
    <xf numFmtId="165" fontId="1" fillId="7" borderId="17" xfId="0" applyNumberFormat="1" applyFont="1" applyFill="1" applyBorder="1" applyAlignment="1" applyProtection="1">
      <alignment horizontal="center" vertical="center"/>
    </xf>
    <xf numFmtId="165" fontId="1" fillId="7" borderId="19" xfId="0" applyNumberFormat="1"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7" borderId="18"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2" fillId="7" borderId="18" xfId="0" applyFont="1" applyFill="1" applyBorder="1" applyAlignment="1" applyProtection="1">
      <alignment horizontal="center" vertical="center"/>
    </xf>
    <xf numFmtId="165" fontId="3" fillId="0" borderId="17" xfId="0" applyNumberFormat="1" applyFont="1" applyFill="1" applyBorder="1" applyAlignment="1" applyProtection="1">
      <alignment horizontal="center" vertical="center"/>
    </xf>
    <xf numFmtId="165" fontId="3" fillId="0" borderId="18" xfId="0" applyNumberFormat="1" applyFont="1" applyFill="1" applyBorder="1" applyAlignment="1" applyProtection="1">
      <alignment horizontal="center" vertical="center"/>
    </xf>
    <xf numFmtId="165" fontId="3" fillId="0" borderId="19" xfId="0" applyNumberFormat="1" applyFont="1" applyFill="1" applyBorder="1" applyAlignment="1" applyProtection="1">
      <alignment horizontal="center" vertical="center"/>
    </xf>
    <xf numFmtId="0" fontId="20" fillId="5" borderId="17" xfId="0" applyFont="1" applyFill="1" applyBorder="1" applyAlignment="1" applyProtection="1">
      <alignment horizontal="center"/>
    </xf>
    <xf numFmtId="0" fontId="20" fillId="5" borderId="18" xfId="0" applyFont="1" applyFill="1" applyBorder="1" applyAlignment="1" applyProtection="1">
      <alignment horizontal="center"/>
    </xf>
    <xf numFmtId="0" fontId="20" fillId="5" borderId="19" xfId="0" applyFont="1" applyFill="1" applyBorder="1" applyAlignment="1" applyProtection="1">
      <alignment horizontal="center"/>
    </xf>
    <xf numFmtId="0" fontId="20" fillId="5" borderId="33" xfId="0" applyFont="1" applyFill="1" applyBorder="1" applyAlignment="1" applyProtection="1">
      <alignment horizontal="center"/>
    </xf>
    <xf numFmtId="0" fontId="20" fillId="5" borderId="34" xfId="0" applyFont="1" applyFill="1" applyBorder="1" applyAlignment="1" applyProtection="1">
      <alignment horizontal="center"/>
    </xf>
    <xf numFmtId="0" fontId="20" fillId="5" borderId="35" xfId="0" applyFont="1" applyFill="1" applyBorder="1" applyAlignment="1" applyProtection="1">
      <alignment horizontal="center"/>
    </xf>
    <xf numFmtId="0" fontId="24" fillId="3" borderId="17" xfId="0" applyFont="1" applyFill="1" applyBorder="1" applyAlignment="1" applyProtection="1">
      <alignment horizontal="center" vertical="center"/>
    </xf>
    <xf numFmtId="0" fontId="24" fillId="3" borderId="19" xfId="0" applyFont="1" applyFill="1" applyBorder="1" applyAlignment="1" applyProtection="1">
      <alignment horizontal="center" vertical="center"/>
    </xf>
    <xf numFmtId="0" fontId="1" fillId="7" borderId="0" xfId="0" applyFont="1" applyFill="1" applyAlignment="1" applyProtection="1">
      <alignment horizontal="center"/>
    </xf>
    <xf numFmtId="0" fontId="20" fillId="0" borderId="33" xfId="0" applyFont="1" applyFill="1" applyBorder="1" applyAlignment="1" applyProtection="1">
      <alignment horizontal="center"/>
    </xf>
    <xf numFmtId="0" fontId="20" fillId="0" borderId="34" xfId="0" applyFont="1" applyFill="1" applyBorder="1" applyAlignment="1" applyProtection="1">
      <alignment horizontal="center"/>
    </xf>
    <xf numFmtId="0" fontId="20" fillId="0" borderId="35" xfId="0" applyFont="1" applyFill="1" applyBorder="1" applyAlignment="1" applyProtection="1">
      <alignment horizontal="center"/>
    </xf>
    <xf numFmtId="0" fontId="2" fillId="7" borderId="17" xfId="0" applyFont="1" applyFill="1" applyBorder="1" applyAlignment="1" applyProtection="1">
      <alignment horizontal="center"/>
    </xf>
    <xf numFmtId="0" fontId="2" fillId="7" borderId="18" xfId="0" applyFont="1" applyFill="1" applyBorder="1" applyAlignment="1" applyProtection="1">
      <alignment horizontal="center"/>
    </xf>
    <xf numFmtId="0" fontId="2" fillId="7" borderId="19" xfId="0" applyFont="1" applyFill="1" applyBorder="1" applyAlignment="1" applyProtection="1">
      <alignment horizontal="center"/>
    </xf>
    <xf numFmtId="0" fontId="3" fillId="7" borderId="33" xfId="0" applyFont="1" applyFill="1" applyBorder="1" applyAlignment="1" applyProtection="1">
      <alignment horizontal="center"/>
    </xf>
    <xf numFmtId="0" fontId="3" fillId="7" borderId="34" xfId="0" applyFont="1" applyFill="1" applyBorder="1" applyAlignment="1" applyProtection="1">
      <alignment horizontal="center"/>
    </xf>
    <xf numFmtId="0" fontId="3" fillId="7" borderId="35" xfId="0" applyFont="1" applyFill="1" applyBorder="1" applyAlignment="1" applyProtection="1">
      <alignment horizontal="center"/>
    </xf>
    <xf numFmtId="0" fontId="24" fillId="0" borderId="17" xfId="0" applyFont="1" applyFill="1" applyBorder="1" applyAlignment="1" applyProtection="1">
      <alignment horizontal="center"/>
    </xf>
    <xf numFmtId="0" fontId="24" fillId="0" borderId="19" xfId="0" applyFont="1" applyFill="1" applyBorder="1" applyAlignment="1" applyProtection="1">
      <alignment horizontal="center"/>
    </xf>
    <xf numFmtId="0" fontId="1" fillId="0" borderId="0" xfId="0" applyFont="1" applyAlignment="1" applyProtection="1">
      <alignment horizontal="center"/>
    </xf>
    <xf numFmtId="168" fontId="11" fillId="0" borderId="17" xfId="0" applyNumberFormat="1" applyFont="1" applyFill="1" applyBorder="1" applyAlignment="1" applyProtection="1">
      <alignment horizontal="center"/>
    </xf>
    <xf numFmtId="168" fontId="11" fillId="0" borderId="18" xfId="0" applyNumberFormat="1" applyFont="1" applyFill="1" applyBorder="1" applyAlignment="1" applyProtection="1">
      <alignment horizontal="center"/>
    </xf>
    <xf numFmtId="168" fontId="11" fillId="0" borderId="19" xfId="0" applyNumberFormat="1" applyFont="1" applyFill="1" applyBorder="1" applyAlignment="1" applyProtection="1">
      <alignment horizontal="center"/>
    </xf>
    <xf numFmtId="0" fontId="20" fillId="0" borderId="15" xfId="0" applyFont="1" applyFill="1" applyBorder="1" applyAlignment="1" applyProtection="1">
      <alignment horizontal="center"/>
    </xf>
    <xf numFmtId="0" fontId="20" fillId="0" borderId="8" xfId="0" applyFont="1" applyFill="1" applyBorder="1" applyAlignment="1" applyProtection="1">
      <alignment horizontal="center"/>
    </xf>
    <xf numFmtId="0" fontId="20" fillId="0" borderId="7" xfId="0" applyFont="1" applyFill="1" applyBorder="1" applyAlignment="1" applyProtection="1">
      <alignment horizontal="center"/>
    </xf>
    <xf numFmtId="0" fontId="2" fillId="0" borderId="10" xfId="0" applyFont="1" applyFill="1" applyBorder="1" applyAlignment="1" applyProtection="1">
      <alignment horizontal="center"/>
    </xf>
    <xf numFmtId="0" fontId="2" fillId="0" borderId="1" xfId="0" applyFont="1" applyFill="1" applyBorder="1" applyAlignment="1" applyProtection="1">
      <alignment horizontal="center"/>
    </xf>
    <xf numFmtId="0" fontId="9" fillId="0" borderId="1" xfId="0" applyFont="1"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4" xfId="0" applyFont="1" applyBorder="1" applyAlignment="1">
      <alignment horizontal="center"/>
    </xf>
    <xf numFmtId="0" fontId="3" fillId="0" borderId="1" xfId="0" applyFont="1" applyBorder="1" applyAlignment="1" applyProtection="1">
      <alignment horizontal="center"/>
    </xf>
    <xf numFmtId="0" fontId="2" fillId="0" borderId="15" xfId="0" applyFont="1" applyBorder="1" applyAlignment="1">
      <alignment horizontal="center"/>
    </xf>
    <xf numFmtId="0" fontId="2" fillId="0" borderId="7" xfId="0" applyFont="1" applyBorder="1" applyAlignment="1">
      <alignment horizontal="center"/>
    </xf>
    <xf numFmtId="0" fontId="2" fillId="7" borderId="15"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1" fillId="0" borderId="0" xfId="0" applyFont="1" applyFill="1" applyAlignment="1">
      <alignment horizontal="center"/>
    </xf>
    <xf numFmtId="0" fontId="20" fillId="0" borderId="17" xfId="0" applyFont="1" applyFill="1" applyBorder="1" applyAlignment="1">
      <alignment horizontal="center"/>
    </xf>
    <xf numFmtId="0" fontId="20" fillId="0" borderId="18" xfId="0" applyFont="1" applyFill="1" applyBorder="1" applyAlignment="1">
      <alignment horizontal="center"/>
    </xf>
    <xf numFmtId="0" fontId="20" fillId="0" borderId="19"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7224974361651"/>
          <c:y val="2.0547204326731884E-2"/>
          <c:w val="0.78830138689409934"/>
          <c:h val="0.89311404810540584"/>
        </c:manualLayout>
      </c:layout>
      <c:scatterChart>
        <c:scatterStyle val="smoothMarker"/>
        <c:varyColors val="0"/>
        <c:ser>
          <c:idx val="0"/>
          <c:order val="0"/>
          <c:tx>
            <c:strRef>
              <c:f>IndrctAdj!$C$31</c:f>
              <c:strCache>
                <c:ptCount val="1"/>
                <c:pt idx="0">
                  <c:v>RR_Obs</c:v>
                </c:pt>
              </c:strCache>
            </c:strRef>
          </c:tx>
          <c:spPr>
            <a:ln>
              <a:noFill/>
            </a:ln>
          </c:spPr>
          <c:marker>
            <c:symbol val="square"/>
            <c:size val="8"/>
            <c:spPr>
              <a:solidFill>
                <a:schemeClr val="tx1"/>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IndrctAdj!$C$32:$C$47</c:f>
            </c:numRef>
          </c:yVal>
          <c:smooth val="0"/>
          <c:extLst xmlns:c16r2="http://schemas.microsoft.com/office/drawing/2015/06/chart">
            <c:ext xmlns:c16="http://schemas.microsoft.com/office/drawing/2014/chart" uri="{C3380CC4-5D6E-409C-BE32-E72D297353CC}">
              <c16:uniqueId val="{00000000-6A0F-4FE5-BFA3-85EC9B2FC8BE}"/>
            </c:ext>
          </c:extLst>
        </c:ser>
        <c:ser>
          <c:idx val="1"/>
          <c:order val="1"/>
          <c:tx>
            <c:strRef>
              <c:f>IndrctAdj!$E$31</c:f>
              <c:strCache>
                <c:ptCount val="1"/>
                <c:pt idx="0">
                  <c:v>RR_X(i)</c:v>
                </c:pt>
              </c:strCache>
            </c:strRef>
          </c:tx>
          <c:spPr>
            <a:ln w="28575">
              <a:noFill/>
            </a:ln>
          </c:spPr>
          <c:marker>
            <c:symbol val="circle"/>
            <c:size val="8"/>
            <c:spPr>
              <a:solidFill>
                <a:srgbClr val="C00000"/>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IndrctAdj!$E$32:$E$47</c:f>
            </c:numRef>
          </c:yVal>
          <c:smooth val="1"/>
          <c:extLst xmlns:c16r2="http://schemas.microsoft.com/office/drawing/2015/06/chart">
            <c:ext xmlns:c16="http://schemas.microsoft.com/office/drawing/2014/chart" uri="{C3380CC4-5D6E-409C-BE32-E72D297353CC}">
              <c16:uniqueId val="{00000001-6A0F-4FE5-BFA3-85EC9B2FC8BE}"/>
            </c:ext>
          </c:extLst>
        </c:ser>
        <c:ser>
          <c:idx val="2"/>
          <c:order val="2"/>
          <c:tx>
            <c:strRef>
              <c:f>RegSm!$E$145</c:f>
              <c:strCache>
                <c:ptCount val="1"/>
                <c:pt idx="0">
                  <c:v>Smooth(Obs)</c:v>
                </c:pt>
              </c:strCache>
            </c:strRef>
          </c:tx>
          <c:spPr>
            <a:ln w="38100">
              <a:solidFill>
                <a:schemeClr val="tx1"/>
              </a:solidFill>
            </a:ln>
          </c:spPr>
          <c:marker>
            <c:symbol val="circle"/>
            <c:size val="5"/>
            <c:spPr>
              <a:solidFill>
                <a:schemeClr val="bg1"/>
              </a:solidFill>
              <a:ln>
                <a:solidFill>
                  <a:schemeClr val="tx1"/>
                </a:solidFill>
              </a:ln>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RegSm!$E$148:$E$163</c:f>
              <c:numCache>
                <c:formatCode>0.00000</c:formatCode>
                <c:ptCount val="16"/>
                <c:pt idx="0">
                  <c:v>1.111</c:v>
                </c:pt>
                <c:pt idx="1">
                  <c:v>1.2889999999999999</c:v>
                </c:pt>
                <c:pt idx="2">
                  <c:v>1.5199999999999996</c:v>
                </c:pt>
                <c:pt idx="3">
                  <c:v>1.7259999999999995</c:v>
                </c:pt>
                <c:pt idx="4">
                  <c:v>1.9469999999999996</c:v>
                </c:pt>
                <c:pt idx="5">
                  <c:v>2.1129999999999995</c:v>
                </c:pt>
                <c:pt idx="6">
                  <c:v>2.2159999999999997</c:v>
                </c:pt>
                <c:pt idx="7">
                  <c:v>2.2519999999999993</c:v>
                </c:pt>
                <c:pt idx="8">
                  <c:v>2.2599999999999993</c:v>
                </c:pt>
                <c:pt idx="9">
                  <c:v>2.2599999999999993</c:v>
                </c:pt>
                <c:pt idx="10">
                  <c:v>2.2599999999999993</c:v>
                </c:pt>
                <c:pt idx="11">
                  <c:v>2.2599999999999993</c:v>
                </c:pt>
                <c:pt idx="12">
                  <c:v>2.2599999999999993</c:v>
                </c:pt>
                <c:pt idx="13">
                  <c:v>2.2599999999999993</c:v>
                </c:pt>
                <c:pt idx="14">
                  <c:v>2.2599999999999993</c:v>
                </c:pt>
                <c:pt idx="15">
                  <c:v>2.2599999999999993</c:v>
                </c:pt>
              </c:numCache>
            </c:numRef>
          </c:yVal>
          <c:smooth val="1"/>
          <c:extLst xmlns:c16r2="http://schemas.microsoft.com/office/drawing/2015/06/chart">
            <c:ext xmlns:c16="http://schemas.microsoft.com/office/drawing/2014/chart" uri="{C3380CC4-5D6E-409C-BE32-E72D297353CC}">
              <c16:uniqueId val="{00000002-6A0F-4FE5-BFA3-85EC9B2FC8BE}"/>
            </c:ext>
          </c:extLst>
        </c:ser>
        <c:ser>
          <c:idx val="3"/>
          <c:order val="3"/>
          <c:tx>
            <c:strRef>
              <c:f>RegSm!$D$145</c:f>
              <c:strCache>
                <c:ptCount val="1"/>
                <c:pt idx="0">
                  <c:v>Smooth(X)</c:v>
                </c:pt>
              </c:strCache>
            </c:strRef>
          </c:tx>
          <c:spPr>
            <a:ln w="38100">
              <a:solidFill>
                <a:srgbClr val="C00000"/>
              </a:solidFill>
            </a:ln>
          </c:spPr>
          <c:marker>
            <c:symbol val="circle"/>
            <c:size val="5"/>
            <c:spPr>
              <a:solidFill>
                <a:schemeClr val="bg1"/>
              </a:solidFill>
              <a:ln>
                <a:solidFill>
                  <a:srgbClr val="C00000"/>
                </a:solidFill>
              </a:ln>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RegSm!$D$148:$D$163</c:f>
              <c:numCache>
                <c:formatCode>0.00000</c:formatCode>
                <c:ptCount val="16"/>
                <c:pt idx="0">
                  <c:v>1.0979674601832852</c:v>
                </c:pt>
                <c:pt idx="1">
                  <c:v>1.2532796211432993</c:v>
                </c:pt>
                <c:pt idx="2">
                  <c:v>1.4401940075305928</c:v>
                </c:pt>
                <c:pt idx="3">
                  <c:v>1.6190534912899188</c:v>
                </c:pt>
                <c:pt idx="4">
                  <c:v>1.8083163027078004</c:v>
                </c:pt>
                <c:pt idx="5">
                  <c:v>1.9593966805644061</c:v>
                </c:pt>
                <c:pt idx="6">
                  <c:v>2.0486810039030363</c:v>
                </c:pt>
                <c:pt idx="7">
                  <c:v>2.0805416153363301</c:v>
                </c:pt>
                <c:pt idx="8">
                  <c:v>2.0866454800167231</c:v>
                </c:pt>
                <c:pt idx="9">
                  <c:v>2.0866454800167231</c:v>
                </c:pt>
                <c:pt idx="10">
                  <c:v>2.0866454800167231</c:v>
                </c:pt>
                <c:pt idx="11">
                  <c:v>2.0866454800167231</c:v>
                </c:pt>
                <c:pt idx="12">
                  <c:v>2.0866454800167231</c:v>
                </c:pt>
                <c:pt idx="13">
                  <c:v>2.0866454800167231</c:v>
                </c:pt>
                <c:pt idx="14">
                  <c:v>2.0866454800167231</c:v>
                </c:pt>
                <c:pt idx="15">
                  <c:v>2.0866454800167231</c:v>
                </c:pt>
              </c:numCache>
            </c:numRef>
          </c:yVal>
          <c:smooth val="1"/>
          <c:extLst xmlns:c16r2="http://schemas.microsoft.com/office/drawing/2015/06/chart">
            <c:ext xmlns:c16="http://schemas.microsoft.com/office/drawing/2014/chart" uri="{C3380CC4-5D6E-409C-BE32-E72D297353CC}">
              <c16:uniqueId val="{00000003-6A0F-4FE5-BFA3-85EC9B2FC8BE}"/>
            </c:ext>
          </c:extLst>
        </c:ser>
        <c:dLbls>
          <c:showLegendKey val="0"/>
          <c:showVal val="0"/>
          <c:showCatName val="0"/>
          <c:showSerName val="0"/>
          <c:showPercent val="0"/>
          <c:showBubbleSize val="0"/>
        </c:dLbls>
        <c:axId val="153845120"/>
        <c:axId val="155280896"/>
      </c:scatterChart>
      <c:valAx>
        <c:axId val="153845120"/>
        <c:scaling>
          <c:orientation val="minMax"/>
          <c:min val="0"/>
        </c:scaling>
        <c:delete val="0"/>
        <c:axPos val="b"/>
        <c:numFmt formatCode="0.00" sourceLinked="0"/>
        <c:majorTickMark val="out"/>
        <c:minorTickMark val="none"/>
        <c:tickLblPos val="nextTo"/>
        <c:crossAx val="155280896"/>
        <c:crossesAt val="0"/>
        <c:crossBetween val="midCat"/>
      </c:valAx>
      <c:valAx>
        <c:axId val="155280896"/>
        <c:scaling>
          <c:orientation val="minMax"/>
          <c:min val="0.5"/>
        </c:scaling>
        <c:delete val="0"/>
        <c:axPos val="l"/>
        <c:majorGridlines/>
        <c:numFmt formatCode="0.00" sourceLinked="0"/>
        <c:majorTickMark val="out"/>
        <c:minorTickMark val="none"/>
        <c:tickLblPos val="nextTo"/>
        <c:crossAx val="153845120"/>
        <c:crossesAt val="0"/>
        <c:crossBetween val="midCat"/>
      </c:valAx>
    </c:plotArea>
    <c:legend>
      <c:legendPos val="r"/>
      <c:layout>
        <c:manualLayout>
          <c:xMode val="edge"/>
          <c:yMode val="edge"/>
          <c:x val="0.72114790286975716"/>
          <c:y val="0.62825949786579705"/>
          <c:w val="0.15841782153483214"/>
          <c:h val="0.20818605144480729"/>
        </c:manualLayout>
      </c:layout>
      <c:overlay val="0"/>
      <c:spPr>
        <a:solidFill>
          <a:schemeClr val="bg1"/>
        </a:solidFill>
        <a:ln w="12700">
          <a:solidFill>
            <a:schemeClr val="tx1"/>
          </a:solidFill>
        </a:ln>
      </c:spPr>
    </c:legend>
    <c:plotVisOnly val="1"/>
    <c:dispBlanksAs val="gap"/>
    <c:showDLblsOverMax val="0"/>
  </c:chart>
  <c:spPr>
    <a:ln w="15875"/>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7276427403097E-2"/>
          <c:y val="7.586483680713732E-2"/>
          <c:w val="0.78830138689409934"/>
          <c:h val="0.89311404810540584"/>
        </c:manualLayout>
      </c:layout>
      <c:scatterChart>
        <c:scatterStyle val="smoothMarker"/>
        <c:varyColors val="0"/>
        <c:ser>
          <c:idx val="0"/>
          <c:order val="0"/>
          <c:tx>
            <c:strRef>
              <c:f>IndrctAdj!$C$78</c:f>
              <c:strCache>
                <c:ptCount val="1"/>
                <c:pt idx="0">
                  <c:v>ERR_Obs</c:v>
                </c:pt>
              </c:strCache>
            </c:strRef>
          </c:tx>
          <c:spPr>
            <a:ln>
              <a:noFill/>
            </a:ln>
          </c:spPr>
          <c:marker>
            <c:symbol val="square"/>
            <c:size val="8"/>
            <c:spPr>
              <a:solidFill>
                <a:schemeClr val="tx1"/>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IndrctAdj!$C$79:$C$94</c:f>
            </c:numRef>
          </c:yVal>
          <c:smooth val="0"/>
          <c:extLst xmlns:c16r2="http://schemas.microsoft.com/office/drawing/2015/06/chart">
            <c:ext xmlns:c16="http://schemas.microsoft.com/office/drawing/2014/chart" uri="{C3380CC4-5D6E-409C-BE32-E72D297353CC}">
              <c16:uniqueId val="{00000000-B36C-40A5-99EB-534BE3291B99}"/>
            </c:ext>
          </c:extLst>
        </c:ser>
        <c:ser>
          <c:idx val="1"/>
          <c:order val="1"/>
          <c:tx>
            <c:strRef>
              <c:f>IndrctAdj!$E$78</c:f>
              <c:strCache>
                <c:ptCount val="1"/>
                <c:pt idx="0">
                  <c:v>ERR_X(i)</c:v>
                </c:pt>
              </c:strCache>
            </c:strRef>
          </c:tx>
          <c:spPr>
            <a:ln w="28575">
              <a:noFill/>
            </a:ln>
          </c:spPr>
          <c:marker>
            <c:symbol val="circle"/>
            <c:size val="8"/>
            <c:spPr>
              <a:solidFill>
                <a:srgbClr val="C00000"/>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IndrctAdj!$E$79:$E$94</c:f>
            </c:numRef>
          </c:yVal>
          <c:smooth val="1"/>
          <c:extLst xmlns:c16r2="http://schemas.microsoft.com/office/drawing/2015/06/chart">
            <c:ext xmlns:c16="http://schemas.microsoft.com/office/drawing/2014/chart" uri="{C3380CC4-5D6E-409C-BE32-E72D297353CC}">
              <c16:uniqueId val="{00000001-B36C-40A5-99EB-534BE3291B99}"/>
            </c:ext>
          </c:extLst>
        </c:ser>
        <c:ser>
          <c:idx val="2"/>
          <c:order val="2"/>
          <c:tx>
            <c:strRef>
              <c:f>RegSm!$E$174</c:f>
              <c:strCache>
                <c:ptCount val="1"/>
                <c:pt idx="0">
                  <c:v>Smooth(Obs)</c:v>
                </c:pt>
              </c:strCache>
            </c:strRef>
          </c:tx>
          <c:spPr>
            <a:ln w="38100">
              <a:solidFill>
                <a:schemeClr val="tx1"/>
              </a:solidFill>
            </a:ln>
          </c:spPr>
          <c:marker>
            <c:symbol val="circle"/>
            <c:size val="5"/>
            <c:spPr>
              <a:solidFill>
                <a:schemeClr val="bg1"/>
              </a:solidFill>
              <a:ln>
                <a:solidFill>
                  <a:schemeClr val="tx1"/>
                </a:solidFill>
              </a:ln>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RegSm!$E$177:$E$192</c:f>
              <c:numCache>
                <c:formatCode>0.00000</c:formatCode>
                <c:ptCount val="16"/>
                <c:pt idx="0">
                  <c:v>0.11099999999999999</c:v>
                </c:pt>
                <c:pt idx="1">
                  <c:v>0.28899999999999998</c:v>
                </c:pt>
                <c:pt idx="2">
                  <c:v>0.51999999999999991</c:v>
                </c:pt>
                <c:pt idx="3">
                  <c:v>0.72599999999999987</c:v>
                </c:pt>
                <c:pt idx="4">
                  <c:v>0.94699999999999973</c:v>
                </c:pt>
                <c:pt idx="5">
                  <c:v>1.1129999999999998</c:v>
                </c:pt>
                <c:pt idx="6">
                  <c:v>1.2159999999999995</c:v>
                </c:pt>
                <c:pt idx="7">
                  <c:v>1.2519999999999996</c:v>
                </c:pt>
                <c:pt idx="8">
                  <c:v>1.2599999999999993</c:v>
                </c:pt>
                <c:pt idx="9">
                  <c:v>1.2599999999999993</c:v>
                </c:pt>
                <c:pt idx="10">
                  <c:v>1.2599999999999993</c:v>
                </c:pt>
                <c:pt idx="11">
                  <c:v>1.2599999999999993</c:v>
                </c:pt>
                <c:pt idx="12">
                  <c:v>1.2599999999999993</c:v>
                </c:pt>
                <c:pt idx="13">
                  <c:v>1.2599999999999993</c:v>
                </c:pt>
                <c:pt idx="14">
                  <c:v>1.2599999999999993</c:v>
                </c:pt>
                <c:pt idx="15">
                  <c:v>1.2599999999999993</c:v>
                </c:pt>
              </c:numCache>
            </c:numRef>
          </c:yVal>
          <c:smooth val="1"/>
          <c:extLst xmlns:c16r2="http://schemas.microsoft.com/office/drawing/2015/06/chart">
            <c:ext xmlns:c16="http://schemas.microsoft.com/office/drawing/2014/chart" uri="{C3380CC4-5D6E-409C-BE32-E72D297353CC}">
              <c16:uniqueId val="{00000002-B36C-40A5-99EB-534BE3291B99}"/>
            </c:ext>
          </c:extLst>
        </c:ser>
        <c:ser>
          <c:idx val="3"/>
          <c:order val="3"/>
          <c:tx>
            <c:strRef>
              <c:f>RegSm!$D$174</c:f>
              <c:strCache>
                <c:ptCount val="1"/>
                <c:pt idx="0">
                  <c:v>Smooth(X)</c:v>
                </c:pt>
              </c:strCache>
            </c:strRef>
          </c:tx>
          <c:spPr>
            <a:ln w="38100">
              <a:solidFill>
                <a:srgbClr val="C00000"/>
              </a:solidFill>
            </a:ln>
          </c:spPr>
          <c:marker>
            <c:symbol val="circle"/>
            <c:size val="5"/>
            <c:spPr>
              <a:solidFill>
                <a:schemeClr val="bg1"/>
              </a:solidFill>
              <a:ln>
                <a:solidFill>
                  <a:srgbClr val="C00000"/>
                </a:solidFill>
              </a:ln>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RegSm!$D$177:$D$192</c:f>
              <c:numCache>
                <c:formatCode>0.00000</c:formatCode>
                <c:ptCount val="16"/>
                <c:pt idx="0">
                  <c:v>7.3361792519999997E-2</c:v>
                </c:pt>
                <c:pt idx="1">
                  <c:v>0.19053133747999995</c:v>
                </c:pt>
                <c:pt idx="2">
                  <c:v>0.33725429839999999</c:v>
                </c:pt>
                <c:pt idx="3">
                  <c:v>0.47639463831999984</c:v>
                </c:pt>
                <c:pt idx="4">
                  <c:v>0.6268397900399999</c:v>
                </c:pt>
                <c:pt idx="5">
                  <c:v>0.74492480715999998</c:v>
                </c:pt>
                <c:pt idx="6">
                  <c:v>0.81647028311999981</c:v>
                </c:pt>
                <c:pt idx="7">
                  <c:v>0.84184770263999975</c:v>
                </c:pt>
                <c:pt idx="8">
                  <c:v>0.84711228319999976</c:v>
                </c:pt>
                <c:pt idx="9">
                  <c:v>0.84711228319999976</c:v>
                </c:pt>
                <c:pt idx="10">
                  <c:v>0.84711228319999976</c:v>
                </c:pt>
                <c:pt idx="11">
                  <c:v>0.84711228319999976</c:v>
                </c:pt>
                <c:pt idx="12">
                  <c:v>0.84711228319999976</c:v>
                </c:pt>
                <c:pt idx="13">
                  <c:v>0.84711228319999976</c:v>
                </c:pt>
                <c:pt idx="14">
                  <c:v>0.84711228319999976</c:v>
                </c:pt>
                <c:pt idx="15">
                  <c:v>0.84711228319999976</c:v>
                </c:pt>
              </c:numCache>
            </c:numRef>
          </c:yVal>
          <c:smooth val="1"/>
          <c:extLst xmlns:c16r2="http://schemas.microsoft.com/office/drawing/2015/06/chart">
            <c:ext xmlns:c16="http://schemas.microsoft.com/office/drawing/2014/chart" uri="{C3380CC4-5D6E-409C-BE32-E72D297353CC}">
              <c16:uniqueId val="{00000003-B36C-40A5-99EB-534BE3291B99}"/>
            </c:ext>
          </c:extLst>
        </c:ser>
        <c:dLbls>
          <c:showLegendKey val="0"/>
          <c:showVal val="0"/>
          <c:showCatName val="0"/>
          <c:showSerName val="0"/>
          <c:showPercent val="0"/>
          <c:showBubbleSize val="0"/>
        </c:dLbls>
        <c:axId val="92196864"/>
        <c:axId val="92198784"/>
      </c:scatterChart>
      <c:valAx>
        <c:axId val="92196864"/>
        <c:scaling>
          <c:orientation val="minMax"/>
        </c:scaling>
        <c:delete val="0"/>
        <c:axPos val="b"/>
        <c:numFmt formatCode="0.000" sourceLinked="1"/>
        <c:majorTickMark val="out"/>
        <c:minorTickMark val="none"/>
        <c:tickLblPos val="nextTo"/>
        <c:crossAx val="92198784"/>
        <c:crosses val="autoZero"/>
        <c:crossBetween val="midCat"/>
      </c:valAx>
      <c:valAx>
        <c:axId val="92198784"/>
        <c:scaling>
          <c:orientation val="minMax"/>
        </c:scaling>
        <c:delete val="0"/>
        <c:axPos val="l"/>
        <c:majorGridlines/>
        <c:numFmt formatCode="0.00000" sourceLinked="1"/>
        <c:majorTickMark val="out"/>
        <c:minorTickMark val="none"/>
        <c:tickLblPos val="nextTo"/>
        <c:crossAx val="92196864"/>
        <c:crosses val="autoZero"/>
        <c:crossBetween val="midCat"/>
      </c:valAx>
    </c:plotArea>
    <c:legend>
      <c:legendPos val="r"/>
      <c:layout>
        <c:manualLayout>
          <c:xMode val="edge"/>
          <c:yMode val="edge"/>
          <c:x val="0.68518968052649754"/>
          <c:y val="0.6598756607037024"/>
          <c:w val="0.24469185895956005"/>
          <c:h val="0.24025327479226388"/>
        </c:manualLayout>
      </c:layout>
      <c:overlay val="0"/>
      <c:spPr>
        <a:solidFill>
          <a:schemeClr val="bg1"/>
        </a:solidFill>
        <a:ln w="12700">
          <a:solidFill>
            <a:schemeClr val="tx1"/>
          </a:solidFill>
        </a:ln>
      </c:spPr>
    </c:legend>
    <c:plotVisOnly val="1"/>
    <c:dispBlanksAs val="gap"/>
    <c:showDLblsOverMax val="0"/>
  </c:chart>
  <c:spPr>
    <a:ln w="15875"/>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7224974361651"/>
          <c:y val="2.0547204326731884E-2"/>
          <c:w val="0.78830138689409934"/>
          <c:h val="0.89311404810540584"/>
        </c:manualLayout>
      </c:layout>
      <c:scatterChart>
        <c:scatterStyle val="smoothMarker"/>
        <c:varyColors val="0"/>
        <c:ser>
          <c:idx val="0"/>
          <c:order val="0"/>
          <c:tx>
            <c:strRef>
              <c:f>IndrctAdj!$C$31</c:f>
              <c:strCache>
                <c:ptCount val="1"/>
                <c:pt idx="0">
                  <c:v>RR_Obs</c:v>
                </c:pt>
              </c:strCache>
            </c:strRef>
          </c:tx>
          <c:spPr>
            <a:ln>
              <a:noFill/>
            </a:ln>
          </c:spPr>
          <c:marker>
            <c:symbol val="square"/>
            <c:size val="8"/>
            <c:spPr>
              <a:solidFill>
                <a:schemeClr val="tx1"/>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IndrctAdj!$C$32:$C$47</c:f>
            </c:numRef>
          </c:yVal>
          <c:smooth val="0"/>
          <c:extLst xmlns:c16r2="http://schemas.microsoft.com/office/drawing/2015/06/chart">
            <c:ext xmlns:c16="http://schemas.microsoft.com/office/drawing/2014/chart" uri="{C3380CC4-5D6E-409C-BE32-E72D297353CC}">
              <c16:uniqueId val="{00000000-6A0F-4FE5-BFA3-85EC9B2FC8BE}"/>
            </c:ext>
          </c:extLst>
        </c:ser>
        <c:ser>
          <c:idx val="1"/>
          <c:order val="1"/>
          <c:tx>
            <c:strRef>
              <c:f>IndrctAdj!$E$31</c:f>
              <c:strCache>
                <c:ptCount val="1"/>
                <c:pt idx="0">
                  <c:v>RR_X(i)</c:v>
                </c:pt>
              </c:strCache>
            </c:strRef>
          </c:tx>
          <c:spPr>
            <a:ln w="28575">
              <a:noFill/>
            </a:ln>
          </c:spPr>
          <c:marker>
            <c:symbol val="circle"/>
            <c:size val="8"/>
            <c:spPr>
              <a:solidFill>
                <a:srgbClr val="C00000"/>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IndrctAdj!$E$32:$E$47</c:f>
            </c:numRef>
          </c:yVal>
          <c:smooth val="1"/>
          <c:extLst xmlns:c16r2="http://schemas.microsoft.com/office/drawing/2015/06/chart">
            <c:ext xmlns:c16="http://schemas.microsoft.com/office/drawing/2014/chart" uri="{C3380CC4-5D6E-409C-BE32-E72D297353CC}">
              <c16:uniqueId val="{00000001-6A0F-4FE5-BFA3-85EC9B2FC8BE}"/>
            </c:ext>
          </c:extLst>
        </c:ser>
        <c:ser>
          <c:idx val="2"/>
          <c:order val="2"/>
          <c:tx>
            <c:strRef>
              <c:f>RegSm!$M$91</c:f>
              <c:strCache>
                <c:ptCount val="1"/>
                <c:pt idx="0">
                  <c:v>Fitted_exp(Obs)</c:v>
                </c:pt>
              </c:strCache>
            </c:strRef>
          </c:tx>
          <c:spPr>
            <a:ln w="38100">
              <a:solidFill>
                <a:schemeClr val="tx1"/>
              </a:solidFill>
              <a:prstDash val="dash"/>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RegSm!$M$76:$M$90</c:f>
              <c:numCache>
                <c:formatCode>0.0000</c:formatCode>
                <c:ptCount val="15"/>
                <c:pt idx="0">
                  <c:v>1</c:v>
                </c:pt>
                <c:pt idx="1">
                  <c:v>1.0895013572275991</c:v>
                </c:pt>
                <c:pt idx="2">
                  <c:v>1.3542086489917888</c:v>
                </c:pt>
                <c:pt idx="3">
                  <c:v>1.5406018015582219</c:v>
                </c:pt>
                <c:pt idx="4">
                  <c:v>1.7555296337385362</c:v>
                </c:pt>
                <c:pt idx="5">
                  <c:v>1.9955039560907595</c:v>
                </c:pt>
                <c:pt idx="6">
                  <c:v>2.8352767946456572</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2-6A0F-4FE5-BFA3-85EC9B2FC8BE}"/>
            </c:ext>
          </c:extLst>
        </c:ser>
        <c:ser>
          <c:idx val="3"/>
          <c:order val="3"/>
          <c:tx>
            <c:strRef>
              <c:f>RegSm!$L$91</c:f>
              <c:strCache>
                <c:ptCount val="1"/>
                <c:pt idx="0">
                  <c:v>Fitted_exp(X)</c:v>
                </c:pt>
              </c:strCache>
            </c:strRef>
          </c:tx>
          <c:spPr>
            <a:ln w="38100">
              <a:solidFill>
                <a:srgbClr val="C00000"/>
              </a:solidFill>
              <a:prstDash val="dash"/>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RegSm!$L$76:$L$90</c:f>
              <c:numCache>
                <c:formatCode>0.0000</c:formatCode>
                <c:ptCount val="15"/>
                <c:pt idx="0">
                  <c:v>1</c:v>
                </c:pt>
                <c:pt idx="1">
                  <c:v>1.0796157578672958</c:v>
                </c:pt>
                <c:pt idx="2">
                  <c:v>1.3112424189819145</c:v>
                </c:pt>
                <c:pt idx="3">
                  <c:v>1.4714063247226132</c:v>
                </c:pt>
                <c:pt idx="4">
                  <c:v>1.6535578065397758</c:v>
                </c:pt>
                <c:pt idx="5">
                  <c:v>1.8541588643279194</c:v>
                </c:pt>
                <c:pt idx="6">
                  <c:v>2.5378701063751206</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3-6A0F-4FE5-BFA3-85EC9B2FC8BE}"/>
            </c:ext>
          </c:extLst>
        </c:ser>
        <c:ser>
          <c:idx val="4"/>
          <c:order val="4"/>
          <c:tx>
            <c:strRef>
              <c:f>RegSm!$O$91</c:f>
              <c:strCache>
                <c:ptCount val="1"/>
                <c:pt idx="0">
                  <c:v>Fitted_lin(Obs)</c:v>
                </c:pt>
              </c:strCache>
            </c:strRef>
          </c:tx>
          <c:spPr>
            <a:ln w="38100">
              <a:solidFill>
                <a:schemeClr val="tx1"/>
              </a:solidFill>
              <a:prstDash val="solid"/>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RegSm!$O$76:$O$90</c:f>
              <c:numCache>
                <c:formatCode>0.0000</c:formatCode>
                <c:ptCount val="15"/>
                <c:pt idx="0">
                  <c:v>1</c:v>
                </c:pt>
                <c:pt idx="1">
                  <c:v>1.1242252625194835</c:v>
                </c:pt>
                <c:pt idx="2">
                  <c:v>1.4394212622310163</c:v>
                </c:pt>
                <c:pt idx="3">
                  <c:v>1.6263035867714457</c:v>
                </c:pt>
                <c:pt idx="4">
                  <c:v>1.8155649364868833</c:v>
                </c:pt>
                <c:pt idx="5">
                  <c:v>2.0012446768729131</c:v>
                </c:pt>
                <c:pt idx="6">
                  <c:v>2.5102645633564755</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0-87B1-4189-9E7C-C0DDB5849697}"/>
            </c:ext>
          </c:extLst>
        </c:ser>
        <c:ser>
          <c:idx val="5"/>
          <c:order val="5"/>
          <c:tx>
            <c:strRef>
              <c:f>RegSm!$N$91</c:f>
              <c:strCache>
                <c:ptCount val="1"/>
                <c:pt idx="0">
                  <c:v>Fitted_lin(X)</c:v>
                </c:pt>
              </c:strCache>
            </c:strRef>
          </c:tx>
          <c:spPr>
            <a:ln w="38100">
              <a:solidFill>
                <a:srgbClr val="C00000"/>
              </a:solidFill>
              <a:prstDash val="solid"/>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RegSm!$N$76:$N$90</c:f>
              <c:numCache>
                <c:formatCode>0.0000</c:formatCode>
                <c:ptCount val="15"/>
                <c:pt idx="0">
                  <c:v>1</c:v>
                </c:pt>
                <c:pt idx="1">
                  <c:v>1.1066051500130358</c:v>
                </c:pt>
                <c:pt idx="2">
                  <c:v>1.3770937459013859</c:v>
                </c:pt>
                <c:pt idx="3">
                  <c:v>1.5374686796174055</c:v>
                </c:pt>
                <c:pt idx="4">
                  <c:v>1.6998851975532761</c:v>
                </c:pt>
                <c:pt idx="5">
                  <c:v>1.859228121663657</c:v>
                </c:pt>
                <c:pt idx="6">
                  <c:v>2.2960486222416927</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1-87B1-4189-9E7C-C0DDB5849697}"/>
            </c:ext>
          </c:extLst>
        </c:ser>
        <c:dLbls>
          <c:showLegendKey val="0"/>
          <c:showVal val="0"/>
          <c:showCatName val="0"/>
          <c:showSerName val="0"/>
          <c:showPercent val="0"/>
          <c:showBubbleSize val="0"/>
        </c:dLbls>
        <c:axId val="92356608"/>
        <c:axId val="92358144"/>
      </c:scatterChart>
      <c:valAx>
        <c:axId val="92356608"/>
        <c:scaling>
          <c:orientation val="minMax"/>
          <c:min val="0"/>
        </c:scaling>
        <c:delete val="0"/>
        <c:axPos val="b"/>
        <c:numFmt formatCode="0.00" sourceLinked="0"/>
        <c:majorTickMark val="out"/>
        <c:minorTickMark val="none"/>
        <c:tickLblPos val="nextTo"/>
        <c:crossAx val="92358144"/>
        <c:crossesAt val="0"/>
        <c:crossBetween val="midCat"/>
      </c:valAx>
      <c:valAx>
        <c:axId val="92358144"/>
        <c:scaling>
          <c:orientation val="minMax"/>
          <c:min val="0.5"/>
        </c:scaling>
        <c:delete val="0"/>
        <c:axPos val="l"/>
        <c:majorGridlines/>
        <c:numFmt formatCode="0.00" sourceLinked="0"/>
        <c:majorTickMark val="out"/>
        <c:minorTickMark val="none"/>
        <c:tickLblPos val="nextTo"/>
        <c:crossAx val="92356608"/>
        <c:crossesAt val="0"/>
        <c:crossBetween val="midCat"/>
      </c:valAx>
    </c:plotArea>
    <c:legend>
      <c:legendPos val="r"/>
      <c:layout>
        <c:manualLayout>
          <c:xMode val="edge"/>
          <c:yMode val="edge"/>
          <c:x val="0.72114797389944441"/>
          <c:y val="0.5345330889827502"/>
          <c:w val="0.21140931547737712"/>
          <c:h val="0.32766348241878551"/>
        </c:manualLayout>
      </c:layout>
      <c:overlay val="0"/>
      <c:spPr>
        <a:solidFill>
          <a:schemeClr val="bg1"/>
        </a:solidFill>
        <a:ln w="12700">
          <a:solidFill>
            <a:schemeClr val="tx1"/>
          </a:solidFill>
        </a:ln>
      </c:spPr>
    </c:legend>
    <c:plotVisOnly val="1"/>
    <c:dispBlanksAs val="gap"/>
    <c:showDLblsOverMax val="0"/>
  </c:chart>
  <c:spPr>
    <a:ln w="15875"/>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7276427403097E-2"/>
          <c:y val="7.586483680713732E-2"/>
          <c:w val="0.78830138689409934"/>
          <c:h val="0.89311404810540584"/>
        </c:manualLayout>
      </c:layout>
      <c:scatterChart>
        <c:scatterStyle val="smoothMarker"/>
        <c:varyColors val="0"/>
        <c:ser>
          <c:idx val="0"/>
          <c:order val="0"/>
          <c:tx>
            <c:strRef>
              <c:f>IndrctAdj!$C$78</c:f>
              <c:strCache>
                <c:ptCount val="1"/>
                <c:pt idx="0">
                  <c:v>ERR_Obs</c:v>
                </c:pt>
              </c:strCache>
            </c:strRef>
          </c:tx>
          <c:spPr>
            <a:ln>
              <a:noFill/>
            </a:ln>
          </c:spPr>
          <c:marker>
            <c:symbol val="square"/>
            <c:size val="8"/>
            <c:spPr>
              <a:solidFill>
                <a:schemeClr val="tx1"/>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IndrctAdj!$C$79:$C$94</c:f>
            </c:numRef>
          </c:yVal>
          <c:smooth val="0"/>
          <c:extLst xmlns:c16r2="http://schemas.microsoft.com/office/drawing/2015/06/chart">
            <c:ext xmlns:c16="http://schemas.microsoft.com/office/drawing/2014/chart" uri="{C3380CC4-5D6E-409C-BE32-E72D297353CC}">
              <c16:uniqueId val="{00000000-B36C-40A5-99EB-534BE3291B99}"/>
            </c:ext>
          </c:extLst>
        </c:ser>
        <c:ser>
          <c:idx val="1"/>
          <c:order val="1"/>
          <c:tx>
            <c:strRef>
              <c:f>IndrctAdj!$E$78</c:f>
              <c:strCache>
                <c:ptCount val="1"/>
                <c:pt idx="0">
                  <c:v>ERR_X(i)</c:v>
                </c:pt>
              </c:strCache>
            </c:strRef>
          </c:tx>
          <c:spPr>
            <a:ln w="28575">
              <a:noFill/>
            </a:ln>
          </c:spPr>
          <c:marker>
            <c:symbol val="circle"/>
            <c:size val="8"/>
            <c:spPr>
              <a:solidFill>
                <a:srgbClr val="C00000"/>
              </a:solidFill>
            </c:spPr>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IndrctAdj!$E$79:$E$94</c:f>
            </c:numRef>
          </c:yVal>
          <c:smooth val="1"/>
          <c:extLst xmlns:c16r2="http://schemas.microsoft.com/office/drawing/2015/06/chart">
            <c:ext xmlns:c16="http://schemas.microsoft.com/office/drawing/2014/chart" uri="{C3380CC4-5D6E-409C-BE32-E72D297353CC}">
              <c16:uniqueId val="{00000001-B36C-40A5-99EB-534BE3291B99}"/>
            </c:ext>
          </c:extLst>
        </c:ser>
        <c:ser>
          <c:idx val="4"/>
          <c:order val="2"/>
          <c:tx>
            <c:strRef>
              <c:f>RegSm!$O$137</c:f>
              <c:strCache>
                <c:ptCount val="1"/>
                <c:pt idx="0">
                  <c:v>Fitted_lin(Obs)</c:v>
                </c:pt>
              </c:strCache>
            </c:strRef>
          </c:tx>
          <c:spPr>
            <a:ln w="38100">
              <a:solidFill>
                <a:schemeClr val="tx1"/>
              </a:solidFill>
              <a:prstDash val="solid"/>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RegSm!$O$122:$O$136</c:f>
              <c:numCache>
                <c:formatCode>0.0000</c:formatCode>
                <c:ptCount val="15"/>
                <c:pt idx="0">
                  <c:v>0</c:v>
                </c:pt>
                <c:pt idx="1">
                  <c:v>0.12422526251948361</c:v>
                </c:pt>
                <c:pt idx="2">
                  <c:v>0.43942126223101646</c:v>
                </c:pt>
                <c:pt idx="3">
                  <c:v>0.62630358677144571</c:v>
                </c:pt>
                <c:pt idx="4">
                  <c:v>0.81556493648688355</c:v>
                </c:pt>
                <c:pt idx="5">
                  <c:v>1.0012446768729131</c:v>
                </c:pt>
                <c:pt idx="6">
                  <c:v>1.5102645633564757</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0-0E91-4A4D-8ED5-B9342F99B4DB}"/>
            </c:ext>
          </c:extLst>
        </c:ser>
        <c:ser>
          <c:idx val="5"/>
          <c:order val="3"/>
          <c:tx>
            <c:strRef>
              <c:f>RegSm!$N$137</c:f>
              <c:strCache>
                <c:ptCount val="1"/>
                <c:pt idx="0">
                  <c:v>Fitted_lin(X)</c:v>
                </c:pt>
              </c:strCache>
            </c:strRef>
          </c:tx>
          <c:spPr>
            <a:ln w="38100">
              <a:solidFill>
                <a:srgbClr val="C00000"/>
              </a:solidFill>
              <a:prstDash val="solid"/>
            </a:ln>
          </c:spPr>
          <c:marker>
            <c:symbol val="none"/>
          </c:marker>
          <c:xVal>
            <c:numRef>
              <c:f>IndrctAdj!$D$8:$D$23</c:f>
              <c:numCache>
                <c:formatCode>0.000</c:formatCode>
                <c:ptCount val="16"/>
                <c:pt idx="0">
                  <c:v>0</c:v>
                </c:pt>
                <c:pt idx="1">
                  <c:v>6.6524299999999998</c:v>
                </c:pt>
                <c:pt idx="2">
                  <c:v>23.531600000000001</c:v>
                </c:pt>
                <c:pt idx="3">
                  <c:v>33.539400000000001</c:v>
                </c:pt>
                <c:pt idx="4">
                  <c:v>43.674599999999998</c:v>
                </c:pt>
                <c:pt idx="5">
                  <c:v>53.618000000000002</c:v>
                </c:pt>
                <c:pt idx="6">
                  <c:v>80.8767</c:v>
                </c:pt>
              </c:numCache>
            </c:numRef>
          </c:xVal>
          <c:yVal>
            <c:numRef>
              <c:f>RegSm!$N$122:$N$136</c:f>
              <c:numCache>
                <c:formatCode>0.0000</c:formatCode>
                <c:ptCount val="15"/>
                <c:pt idx="0">
                  <c:v>0</c:v>
                </c:pt>
                <c:pt idx="1">
                  <c:v>8.2603876950849309E-2</c:v>
                </c:pt>
                <c:pt idx="2">
                  <c:v>0.29219418931978325</c:v>
                </c:pt>
                <c:pt idx="3">
                  <c:v>0.41646202524570952</c:v>
                </c:pt>
                <c:pt idx="4">
                  <c:v>0.54231179948944419</c:v>
                </c:pt>
                <c:pt idx="5">
                  <c:v>0.66577997428768709</c:v>
                </c:pt>
                <c:pt idx="6">
                  <c:v>1.0042539305172327</c:v>
                </c:pt>
                <c:pt idx="7">
                  <c:v>0</c:v>
                </c:pt>
                <c:pt idx="8">
                  <c:v>0</c:v>
                </c:pt>
                <c:pt idx="9">
                  <c:v>0</c:v>
                </c:pt>
                <c:pt idx="10">
                  <c:v>0</c:v>
                </c:pt>
                <c:pt idx="11">
                  <c:v>0</c:v>
                </c:pt>
                <c:pt idx="12">
                  <c:v>0</c:v>
                </c:pt>
                <c:pt idx="13">
                  <c:v>0</c:v>
                </c:pt>
                <c:pt idx="14">
                  <c:v>0</c:v>
                </c:pt>
              </c:numCache>
            </c:numRef>
          </c:yVal>
          <c:smooth val="1"/>
          <c:extLst xmlns:c16r2="http://schemas.microsoft.com/office/drawing/2015/06/chart">
            <c:ext xmlns:c16="http://schemas.microsoft.com/office/drawing/2014/chart" uri="{C3380CC4-5D6E-409C-BE32-E72D297353CC}">
              <c16:uniqueId val="{00000001-0E91-4A4D-8ED5-B9342F99B4DB}"/>
            </c:ext>
          </c:extLst>
        </c:ser>
        <c:dLbls>
          <c:showLegendKey val="0"/>
          <c:showVal val="0"/>
          <c:showCatName val="0"/>
          <c:showSerName val="0"/>
          <c:showPercent val="0"/>
          <c:showBubbleSize val="0"/>
        </c:dLbls>
        <c:axId val="92390912"/>
        <c:axId val="92392448"/>
      </c:scatterChart>
      <c:valAx>
        <c:axId val="92390912"/>
        <c:scaling>
          <c:orientation val="minMax"/>
        </c:scaling>
        <c:delete val="0"/>
        <c:axPos val="b"/>
        <c:numFmt formatCode="0.000" sourceLinked="1"/>
        <c:majorTickMark val="out"/>
        <c:minorTickMark val="none"/>
        <c:tickLblPos val="nextTo"/>
        <c:crossAx val="92392448"/>
        <c:crosses val="autoZero"/>
        <c:crossBetween val="midCat"/>
      </c:valAx>
      <c:valAx>
        <c:axId val="92392448"/>
        <c:scaling>
          <c:orientation val="minMax"/>
        </c:scaling>
        <c:delete val="0"/>
        <c:axPos val="l"/>
        <c:majorGridlines/>
        <c:numFmt formatCode="0.0000" sourceLinked="1"/>
        <c:majorTickMark val="out"/>
        <c:minorTickMark val="none"/>
        <c:tickLblPos val="nextTo"/>
        <c:crossAx val="92390912"/>
        <c:crosses val="autoZero"/>
        <c:crossBetween val="midCat"/>
      </c:valAx>
    </c:plotArea>
    <c:legend>
      <c:legendPos val="r"/>
      <c:layout>
        <c:manualLayout>
          <c:xMode val="edge"/>
          <c:yMode val="edge"/>
          <c:x val="0.71631812932846151"/>
          <c:y val="0.61709496451443169"/>
          <c:w val="0.18637780839312923"/>
          <c:h val="0.20653896612701778"/>
        </c:manualLayout>
      </c:layout>
      <c:overlay val="0"/>
      <c:spPr>
        <a:solidFill>
          <a:schemeClr val="bg1"/>
        </a:solidFill>
        <a:ln w="12700">
          <a:solidFill>
            <a:schemeClr val="tx1"/>
          </a:solidFill>
        </a:ln>
      </c:spPr>
    </c:legend>
    <c:plotVisOnly val="1"/>
    <c:dispBlanksAs val="gap"/>
    <c:showDLblsOverMax val="0"/>
  </c:chart>
  <c:spPr>
    <a:ln w="15875"/>
  </c:spPr>
  <c:txPr>
    <a:bodyPr/>
    <a:lstStyle/>
    <a:p>
      <a:pPr>
        <a:defRPr>
          <a:solidFill>
            <a:schemeClr val="tx1"/>
          </a:solidFill>
        </a:defRPr>
      </a:pPr>
      <a:endParaRPr lang="en-US"/>
    </a:p>
  </c:tx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114154</xdr:colOff>
      <xdr:row>3</xdr:row>
      <xdr:rowOff>180130</xdr:rowOff>
    </xdr:from>
    <xdr:to>
      <xdr:col>2</xdr:col>
      <xdr:colOff>1927174</xdr:colOff>
      <xdr:row>5</xdr:row>
      <xdr:rowOff>29814</xdr:rowOff>
    </xdr:to>
    <xdr:sp macro="[0]!gotoAxel_Gail" textlink="">
      <xdr:nvSpPr>
        <xdr:cNvPr id="3" name="Rounded Rectangle 2">
          <a:extLst>
            <a:ext uri="{FF2B5EF4-FFF2-40B4-BE49-F238E27FC236}">
              <a16:creationId xmlns="" xmlns:a16="http://schemas.microsoft.com/office/drawing/2014/main" id="{00000000-0008-0000-0000-000003000000}"/>
            </a:ext>
          </a:extLst>
        </xdr:cNvPr>
        <xdr:cNvSpPr/>
      </xdr:nvSpPr>
      <xdr:spPr>
        <a:xfrm>
          <a:off x="2238229" y="808780"/>
          <a:ext cx="1813020" cy="249734"/>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a:solidFill>
                <a:schemeClr val="tx1"/>
              </a:solidFill>
              <a:latin typeface="+mn-lt"/>
              <a:ea typeface="+mn-ea"/>
              <a:cs typeface="+mn-cs"/>
            </a:rPr>
            <a:t>Axel_Gail</a:t>
          </a:r>
        </a:p>
      </xdr:txBody>
    </xdr:sp>
    <xdr:clientData/>
  </xdr:twoCellAnchor>
  <xdr:twoCellAnchor>
    <xdr:from>
      <xdr:col>2</xdr:col>
      <xdr:colOff>117668</xdr:colOff>
      <xdr:row>6</xdr:row>
      <xdr:rowOff>37084</xdr:rowOff>
    </xdr:from>
    <xdr:to>
      <xdr:col>2</xdr:col>
      <xdr:colOff>1923660</xdr:colOff>
      <xdr:row>7</xdr:row>
      <xdr:rowOff>94714</xdr:rowOff>
    </xdr:to>
    <xdr:sp macro="[0]!gotoAG_solve" textlink="">
      <xdr:nvSpPr>
        <xdr:cNvPr id="4" name="Rounded Rectangle 3">
          <a:extLst>
            <a:ext uri="{FF2B5EF4-FFF2-40B4-BE49-F238E27FC236}">
              <a16:creationId xmlns="" xmlns:a16="http://schemas.microsoft.com/office/drawing/2014/main" id="{00000000-0008-0000-0000-000004000000}"/>
            </a:ext>
          </a:extLst>
        </xdr:cNvPr>
        <xdr:cNvSpPr/>
      </xdr:nvSpPr>
      <xdr:spPr>
        <a:xfrm>
          <a:off x="2241743" y="1189609"/>
          <a:ext cx="1805992" cy="248130"/>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a:solidFill>
                <a:schemeClr val="tx1"/>
              </a:solidFill>
              <a:latin typeface="+mn-lt"/>
              <a:ea typeface="+mn-ea"/>
              <a:cs typeface="+mn-cs"/>
            </a:rPr>
            <a:t>Axel_Gail_solve</a:t>
          </a:r>
        </a:p>
      </xdr:txBody>
    </xdr:sp>
    <xdr:clientData/>
  </xdr:twoCellAnchor>
  <xdr:twoCellAnchor>
    <xdr:from>
      <xdr:col>2</xdr:col>
      <xdr:colOff>117668</xdr:colOff>
      <xdr:row>9</xdr:row>
      <xdr:rowOff>388</xdr:rowOff>
    </xdr:from>
    <xdr:to>
      <xdr:col>2</xdr:col>
      <xdr:colOff>1923660</xdr:colOff>
      <xdr:row>10</xdr:row>
      <xdr:rowOff>48493</xdr:rowOff>
    </xdr:to>
    <xdr:sp macro="[0]!gotoAdj_mult" textlink="">
      <xdr:nvSpPr>
        <xdr:cNvPr id="5" name="Rounded Rectangle 4">
          <a:extLst>
            <a:ext uri="{FF2B5EF4-FFF2-40B4-BE49-F238E27FC236}">
              <a16:creationId xmlns="" xmlns:a16="http://schemas.microsoft.com/office/drawing/2014/main" id="{00000000-0008-0000-0000-000005000000}"/>
            </a:ext>
          </a:extLst>
        </xdr:cNvPr>
        <xdr:cNvSpPr/>
      </xdr:nvSpPr>
      <xdr:spPr>
        <a:xfrm>
          <a:off x="2241743" y="1743463"/>
          <a:ext cx="1805992" cy="248130"/>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IndirectAdj_mult</a:t>
          </a:r>
        </a:p>
      </xdr:txBody>
    </xdr:sp>
    <xdr:clientData/>
  </xdr:twoCellAnchor>
  <xdr:twoCellAnchor>
    <xdr:from>
      <xdr:col>2</xdr:col>
      <xdr:colOff>115408</xdr:colOff>
      <xdr:row>10</xdr:row>
      <xdr:rowOff>160485</xdr:rowOff>
    </xdr:from>
    <xdr:to>
      <xdr:col>2</xdr:col>
      <xdr:colOff>1925920</xdr:colOff>
      <xdr:row>12</xdr:row>
      <xdr:rowOff>7323</xdr:rowOff>
    </xdr:to>
    <xdr:sp macro="[0]!gotoAdj_add" textlink="">
      <xdr:nvSpPr>
        <xdr:cNvPr id="6" name="Rounded Rectangle 5">
          <a:extLst>
            <a:ext uri="{FF2B5EF4-FFF2-40B4-BE49-F238E27FC236}">
              <a16:creationId xmlns="" xmlns:a16="http://schemas.microsoft.com/office/drawing/2014/main" id="{00000000-0008-0000-0000-000006000000}"/>
            </a:ext>
          </a:extLst>
        </xdr:cNvPr>
        <xdr:cNvSpPr/>
      </xdr:nvSpPr>
      <xdr:spPr>
        <a:xfrm>
          <a:off x="2239483" y="2103585"/>
          <a:ext cx="1810512" cy="246888"/>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mn-lt"/>
              <a:ea typeface="+mn-ea"/>
              <a:cs typeface="+mn-cs"/>
            </a:rPr>
            <a:t>IndirectAdj_add</a:t>
          </a:r>
          <a:endParaRPr lang="en-US" sz="1200" b="1">
            <a:solidFill>
              <a:schemeClr val="tx1"/>
            </a:solidFill>
          </a:endParaRPr>
        </a:p>
      </xdr:txBody>
    </xdr:sp>
    <xdr:clientData/>
  </xdr:twoCellAnchor>
  <xdr:twoCellAnchor>
    <xdr:from>
      <xdr:col>2</xdr:col>
      <xdr:colOff>115408</xdr:colOff>
      <xdr:row>18</xdr:row>
      <xdr:rowOff>133349</xdr:rowOff>
    </xdr:from>
    <xdr:to>
      <xdr:col>2</xdr:col>
      <xdr:colOff>1925920</xdr:colOff>
      <xdr:row>19</xdr:row>
      <xdr:rowOff>189737</xdr:rowOff>
    </xdr:to>
    <xdr:sp macro="[0]!gotoCFBin_add" textlink="">
      <xdr:nvSpPr>
        <xdr:cNvPr id="7" name="Rounded Rectangle 6">
          <a:extLst>
            <a:ext uri="{FF2B5EF4-FFF2-40B4-BE49-F238E27FC236}">
              <a16:creationId xmlns="" xmlns:a16="http://schemas.microsoft.com/office/drawing/2014/main" id="{00000000-0008-0000-0000-000007000000}"/>
            </a:ext>
          </a:extLst>
        </xdr:cNvPr>
        <xdr:cNvSpPr/>
      </xdr:nvSpPr>
      <xdr:spPr>
        <a:xfrm>
          <a:off x="2239483" y="3533774"/>
          <a:ext cx="1810512" cy="246888"/>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CFBin_solve_add</a:t>
          </a:r>
        </a:p>
      </xdr:txBody>
    </xdr:sp>
    <xdr:clientData/>
  </xdr:twoCellAnchor>
  <xdr:twoCellAnchor>
    <xdr:from>
      <xdr:col>2</xdr:col>
      <xdr:colOff>115408</xdr:colOff>
      <xdr:row>26</xdr:row>
      <xdr:rowOff>15182</xdr:rowOff>
    </xdr:from>
    <xdr:to>
      <xdr:col>2</xdr:col>
      <xdr:colOff>1925920</xdr:colOff>
      <xdr:row>26</xdr:row>
      <xdr:rowOff>262070</xdr:rowOff>
    </xdr:to>
    <xdr:sp macro="[0]!gotoExamples" textlink="">
      <xdr:nvSpPr>
        <xdr:cNvPr id="8" name="Rounded Rectangle 7">
          <a:extLst>
            <a:ext uri="{FF2B5EF4-FFF2-40B4-BE49-F238E27FC236}">
              <a16:creationId xmlns="" xmlns:a16="http://schemas.microsoft.com/office/drawing/2014/main" id="{00000000-0008-0000-0000-000008000000}"/>
            </a:ext>
          </a:extLst>
        </xdr:cNvPr>
        <xdr:cNvSpPr/>
      </xdr:nvSpPr>
      <xdr:spPr>
        <a:xfrm>
          <a:off x="2239483" y="5006282"/>
          <a:ext cx="1810512" cy="246888"/>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a:solidFill>
                <a:schemeClr val="tx1"/>
              </a:solidFill>
              <a:latin typeface="+mn-lt"/>
              <a:ea typeface="+mn-ea"/>
              <a:cs typeface="+mn-cs"/>
            </a:rPr>
            <a:t>Examples</a:t>
          </a:r>
        </a:p>
      </xdr:txBody>
    </xdr:sp>
    <xdr:clientData/>
  </xdr:twoCellAnchor>
  <xdr:twoCellAnchor>
    <xdr:from>
      <xdr:col>2</xdr:col>
      <xdr:colOff>117668</xdr:colOff>
      <xdr:row>23</xdr:row>
      <xdr:rowOff>150588</xdr:rowOff>
    </xdr:from>
    <xdr:to>
      <xdr:col>2</xdr:col>
      <xdr:colOff>1923660</xdr:colOff>
      <xdr:row>24</xdr:row>
      <xdr:rowOff>197451</xdr:rowOff>
    </xdr:to>
    <xdr:sp macro="[0]!gotoCFCat_add" textlink="">
      <xdr:nvSpPr>
        <xdr:cNvPr id="9" name="Rounded Rectangle 8">
          <a:extLst>
            <a:ext uri="{FF2B5EF4-FFF2-40B4-BE49-F238E27FC236}">
              <a16:creationId xmlns="" xmlns:a16="http://schemas.microsoft.com/office/drawing/2014/main" id="{00000000-0008-0000-0000-000009000000}"/>
            </a:ext>
          </a:extLst>
        </xdr:cNvPr>
        <xdr:cNvSpPr/>
      </xdr:nvSpPr>
      <xdr:spPr>
        <a:xfrm>
          <a:off x="2241743" y="4541613"/>
          <a:ext cx="1805992" cy="246888"/>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a:solidFill>
                <a:schemeClr val="tx1"/>
              </a:solidFill>
              <a:latin typeface="+mn-lt"/>
              <a:ea typeface="+mn-ea"/>
              <a:cs typeface="+mn-cs"/>
            </a:rPr>
            <a:t>CRCat_solve_add</a:t>
          </a:r>
        </a:p>
      </xdr:txBody>
    </xdr:sp>
    <xdr:clientData/>
  </xdr:twoCellAnchor>
  <xdr:twoCellAnchor>
    <xdr:from>
      <xdr:col>2</xdr:col>
      <xdr:colOff>117668</xdr:colOff>
      <xdr:row>21</xdr:row>
      <xdr:rowOff>159979</xdr:rowOff>
    </xdr:from>
    <xdr:to>
      <xdr:col>2</xdr:col>
      <xdr:colOff>1923660</xdr:colOff>
      <xdr:row>23</xdr:row>
      <xdr:rowOff>6817</xdr:rowOff>
    </xdr:to>
    <xdr:sp macro="[0]!goCFCat_mult" textlink="">
      <xdr:nvSpPr>
        <xdr:cNvPr id="10" name="Rounded Rectangle 9">
          <a:extLst>
            <a:ext uri="{FF2B5EF4-FFF2-40B4-BE49-F238E27FC236}">
              <a16:creationId xmlns="" xmlns:a16="http://schemas.microsoft.com/office/drawing/2014/main" id="{00000000-0008-0000-0000-00000A000000}"/>
            </a:ext>
          </a:extLst>
        </xdr:cNvPr>
        <xdr:cNvSpPr/>
      </xdr:nvSpPr>
      <xdr:spPr>
        <a:xfrm>
          <a:off x="2241743" y="4150954"/>
          <a:ext cx="1805992" cy="246888"/>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CFCat_solve_mult</a:t>
          </a:r>
        </a:p>
      </xdr:txBody>
    </xdr:sp>
    <xdr:clientData/>
  </xdr:twoCellAnchor>
  <xdr:twoCellAnchor>
    <xdr:from>
      <xdr:col>2</xdr:col>
      <xdr:colOff>117668</xdr:colOff>
      <xdr:row>16</xdr:row>
      <xdr:rowOff>142459</xdr:rowOff>
    </xdr:from>
    <xdr:to>
      <xdr:col>2</xdr:col>
      <xdr:colOff>1923660</xdr:colOff>
      <xdr:row>17</xdr:row>
      <xdr:rowOff>190564</xdr:rowOff>
    </xdr:to>
    <xdr:sp macro="[0]!gotoCFBin_mult" textlink="">
      <xdr:nvSpPr>
        <xdr:cNvPr id="11" name="Rounded Rectangle 10">
          <a:extLst>
            <a:ext uri="{FF2B5EF4-FFF2-40B4-BE49-F238E27FC236}">
              <a16:creationId xmlns="" xmlns:a16="http://schemas.microsoft.com/office/drawing/2014/main" id="{00000000-0008-0000-0000-00000B000000}"/>
            </a:ext>
          </a:extLst>
        </xdr:cNvPr>
        <xdr:cNvSpPr/>
      </xdr:nvSpPr>
      <xdr:spPr>
        <a:xfrm>
          <a:off x="2241743" y="3142834"/>
          <a:ext cx="1805992" cy="248130"/>
        </a:xfrm>
        <a:prstGeom prst="roundRect">
          <a:avLst/>
        </a:prstGeom>
        <a:solidFill>
          <a:schemeClr val="accent1">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CFBin_solve_mult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552451</xdr:colOff>
      <xdr:row>35</xdr:row>
      <xdr:rowOff>152399</xdr:rowOff>
    </xdr:from>
    <xdr:to>
      <xdr:col>13</xdr:col>
      <xdr:colOff>447676</xdr:colOff>
      <xdr:row>36</xdr:row>
      <xdr:rowOff>152399</xdr:rowOff>
    </xdr:to>
    <xdr:sp macro="[0]!RtnDash_AG" textlink="">
      <xdr:nvSpPr>
        <xdr:cNvPr id="3" name="Rounded Rectangle 2">
          <a:extLst>
            <a:ext uri="{FF2B5EF4-FFF2-40B4-BE49-F238E27FC236}">
              <a16:creationId xmlns="" xmlns:a16="http://schemas.microsoft.com/office/drawing/2014/main" id="{00000000-0008-0000-0100-000003000000}"/>
            </a:ext>
          </a:extLst>
        </xdr:cNvPr>
        <xdr:cNvSpPr/>
      </xdr:nvSpPr>
      <xdr:spPr>
        <a:xfrm>
          <a:off x="8353426" y="4467224"/>
          <a:ext cx="1638300" cy="2381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 Dashboard</a:t>
          </a:r>
        </a:p>
      </xdr:txBody>
    </xdr:sp>
    <xdr:clientData/>
  </xdr:twoCellAnchor>
  <xdr:twoCellAnchor>
    <xdr:from>
      <xdr:col>11</xdr:col>
      <xdr:colOff>563034</xdr:colOff>
      <xdr:row>37</xdr:row>
      <xdr:rowOff>67741</xdr:rowOff>
    </xdr:from>
    <xdr:to>
      <xdr:col>13</xdr:col>
      <xdr:colOff>458259</xdr:colOff>
      <xdr:row>38</xdr:row>
      <xdr:rowOff>115366</xdr:rowOff>
    </xdr:to>
    <xdr:sp macro="[0]!Clear_Axelson" textlink="">
      <xdr:nvSpPr>
        <xdr:cNvPr id="4" name="Rounded Rectangle 3">
          <a:extLst>
            <a:ext uri="{FF2B5EF4-FFF2-40B4-BE49-F238E27FC236}">
              <a16:creationId xmlns="" xmlns:a16="http://schemas.microsoft.com/office/drawing/2014/main" id="{00000000-0008-0000-0100-000004000000}"/>
            </a:ext>
          </a:extLst>
        </xdr:cNvPr>
        <xdr:cNvSpPr/>
      </xdr:nvSpPr>
      <xdr:spPr>
        <a:xfrm>
          <a:off x="8364009" y="4811191"/>
          <a:ext cx="1638300" cy="2381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Clear</a:t>
          </a:r>
          <a:r>
            <a:rPr lang="en-US" sz="1200" b="1" baseline="0">
              <a:solidFill>
                <a:schemeClr val="tx1"/>
              </a:solidFill>
            </a:rPr>
            <a:t> all data</a:t>
          </a:r>
          <a:endParaRPr lang="en-US"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648891</xdr:colOff>
      <xdr:row>26</xdr:row>
      <xdr:rowOff>83350</xdr:rowOff>
    </xdr:from>
    <xdr:to>
      <xdr:col>24</xdr:col>
      <xdr:colOff>244078</xdr:colOff>
      <xdr:row>47</xdr:row>
      <xdr:rowOff>190507</xdr:rowOff>
    </xdr:to>
    <xdr:graphicFrame macro="">
      <xdr:nvGraphicFramePr>
        <xdr:cNvPr id="8" name="Chart 7" descr="Graph shows observed and indirectly adjusted running means of the true relative risks and smoothed lines based on a multiplicative relative risk model for the observed exposure.  The user may supply prior weights for the smooth." title="Graph of running means and smooth of observed and true relative risks">
          <a:extLst>
            <a:ext uri="{FF2B5EF4-FFF2-40B4-BE49-F238E27FC236}">
              <a16:creationId xmlns=""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654844</xdr:colOff>
      <xdr:row>75</xdr:row>
      <xdr:rowOff>107157</xdr:rowOff>
    </xdr:from>
    <xdr:to>
      <xdr:col>24</xdr:col>
      <xdr:colOff>238126</xdr:colOff>
      <xdr:row>96</xdr:row>
      <xdr:rowOff>250031</xdr:rowOff>
    </xdr:to>
    <xdr:graphicFrame macro="">
      <xdr:nvGraphicFramePr>
        <xdr:cNvPr id="10" name="Chart 9" descr="Graph shows observed and indirectly adjusted running means of the true relative risks and smoothed lines based on an additive relative risk model for the observed exposure.  The user may supply prior weights for the smooth." title="Graph of running means of observed and true excess relative risks">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4763</xdr:colOff>
      <xdr:row>2</xdr:row>
      <xdr:rowOff>80390</xdr:rowOff>
    </xdr:from>
    <xdr:to>
      <xdr:col>17</xdr:col>
      <xdr:colOff>504825</xdr:colOff>
      <xdr:row>3</xdr:row>
      <xdr:rowOff>35146</xdr:rowOff>
    </xdr:to>
    <xdr:sp macro="[0]!RtnDash_Adj" textlink="">
      <xdr:nvSpPr>
        <xdr:cNvPr id="4" name="Rounded Rectangle 3">
          <a:extLst>
            <a:ext uri="{FF2B5EF4-FFF2-40B4-BE49-F238E27FC236}">
              <a16:creationId xmlns="" xmlns:a16="http://schemas.microsoft.com/office/drawing/2014/main" id="{00000000-0008-0000-0200-000004000000}"/>
            </a:ext>
          </a:extLst>
        </xdr:cNvPr>
        <xdr:cNvSpPr/>
      </xdr:nvSpPr>
      <xdr:spPr>
        <a:xfrm>
          <a:off x="11982451" y="449484"/>
          <a:ext cx="1273968" cy="228600"/>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 Dashboard</a:t>
          </a:r>
        </a:p>
      </xdr:txBody>
    </xdr:sp>
    <xdr:clientData/>
  </xdr:twoCellAnchor>
  <xdr:twoCellAnchor>
    <xdr:from>
      <xdr:col>16</xdr:col>
      <xdr:colOff>0</xdr:colOff>
      <xdr:row>3</xdr:row>
      <xdr:rowOff>83342</xdr:rowOff>
    </xdr:from>
    <xdr:to>
      <xdr:col>17</xdr:col>
      <xdr:colOff>514350</xdr:colOff>
      <xdr:row>4</xdr:row>
      <xdr:rowOff>92867</xdr:rowOff>
    </xdr:to>
    <xdr:sp macro="[0]!gotoExamples" textlink="">
      <xdr:nvSpPr>
        <xdr:cNvPr id="5" name="Rounded Rectangle 4">
          <a:extLst>
            <a:ext uri="{FF2B5EF4-FFF2-40B4-BE49-F238E27FC236}">
              <a16:creationId xmlns="" xmlns:a16="http://schemas.microsoft.com/office/drawing/2014/main" id="{00000000-0008-0000-0200-000005000000}"/>
            </a:ext>
          </a:extLst>
        </xdr:cNvPr>
        <xdr:cNvSpPr/>
      </xdr:nvSpPr>
      <xdr:spPr>
        <a:xfrm>
          <a:off x="12108656" y="726280"/>
          <a:ext cx="1312069" cy="2000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Examples</a:t>
          </a:r>
        </a:p>
      </xdr:txBody>
    </xdr:sp>
    <xdr:clientData/>
  </xdr:twoCellAnchor>
  <xdr:twoCellAnchor>
    <xdr:from>
      <xdr:col>15</xdr:col>
      <xdr:colOff>642938</xdr:colOff>
      <xdr:row>48</xdr:row>
      <xdr:rowOff>121453</xdr:rowOff>
    </xdr:from>
    <xdr:to>
      <xdr:col>24</xdr:col>
      <xdr:colOff>250031</xdr:colOff>
      <xdr:row>69</xdr:row>
      <xdr:rowOff>59537</xdr:rowOff>
    </xdr:to>
    <xdr:graphicFrame macro="">
      <xdr:nvGraphicFramePr>
        <xdr:cNvPr id="7" name="Chart 6" descr="Graph shows observed and indirectly adjusted running means of the true relative risks and smoothed lines based on a multiplicative relative risk model for the observed exposure.  The user may supply prior weights for the smooth." title="Graph of running means and smooth of observed and true relative risks">
          <a:extLst>
            <a:ext uri="{FF2B5EF4-FFF2-40B4-BE49-F238E27FC236}">
              <a16:creationId xmlns=""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654844</xdr:colOff>
      <xdr:row>97</xdr:row>
      <xdr:rowOff>178594</xdr:rowOff>
    </xdr:from>
    <xdr:to>
      <xdr:col>24</xdr:col>
      <xdr:colOff>238126</xdr:colOff>
      <xdr:row>121</xdr:row>
      <xdr:rowOff>11906</xdr:rowOff>
    </xdr:to>
    <xdr:graphicFrame macro="">
      <xdr:nvGraphicFramePr>
        <xdr:cNvPr id="9" name="Chart 8" descr="Graph shows observed and indirectly adjusted running means of the true relative risks and smoothed lines based on an additive relative risk model for the observed exposure.  The user may supply prior weights for the smooth." title="Graph of running means of observed and true excess relative risks">
          <a:extLst>
            <a:ext uri="{FF2B5EF4-FFF2-40B4-BE49-F238E27FC236}">
              <a16:creationId xmlns=""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2</xdr:row>
      <xdr:rowOff>66674</xdr:rowOff>
    </xdr:from>
    <xdr:to>
      <xdr:col>19</xdr:col>
      <xdr:colOff>583405</xdr:colOff>
      <xdr:row>3</xdr:row>
      <xdr:rowOff>48862</xdr:rowOff>
    </xdr:to>
    <xdr:sp macro="[0]!Clear_IndrctAdj" textlink="">
      <xdr:nvSpPr>
        <xdr:cNvPr id="11" name="Rounded Rectangle 10">
          <a:extLst>
            <a:ext uri="{FF2B5EF4-FFF2-40B4-BE49-F238E27FC236}">
              <a16:creationId xmlns="" xmlns:a16="http://schemas.microsoft.com/office/drawing/2014/main" id="{00000000-0008-0000-0200-00000B000000}"/>
            </a:ext>
          </a:extLst>
        </xdr:cNvPr>
        <xdr:cNvSpPr/>
      </xdr:nvSpPr>
      <xdr:spPr>
        <a:xfrm>
          <a:off x="13442156" y="435768"/>
          <a:ext cx="1273968" cy="256032"/>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Clear</a:t>
          </a:r>
          <a:r>
            <a:rPr lang="en-US" sz="1200" b="1" baseline="0">
              <a:solidFill>
                <a:schemeClr val="tx1"/>
              </a:solidFill>
            </a:rPr>
            <a:t> all data</a:t>
          </a:r>
          <a:endParaRPr lang="en-US" sz="12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104775</xdr:colOff>
      <xdr:row>21</xdr:row>
      <xdr:rowOff>76199</xdr:rowOff>
    </xdr:from>
    <xdr:to>
      <xdr:col>19</xdr:col>
      <xdr:colOff>457200</xdr:colOff>
      <xdr:row>22</xdr:row>
      <xdr:rowOff>104774</xdr:rowOff>
    </xdr:to>
    <xdr:sp macro="[0]!RtnDash_Bin" textlink="">
      <xdr:nvSpPr>
        <xdr:cNvPr id="2" name="Rounded Rectangle 1">
          <a:extLst>
            <a:ext uri="{FF2B5EF4-FFF2-40B4-BE49-F238E27FC236}">
              <a16:creationId xmlns="" xmlns:a16="http://schemas.microsoft.com/office/drawing/2014/main" id="{00000000-0008-0000-0300-000002000000}"/>
            </a:ext>
          </a:extLst>
        </xdr:cNvPr>
        <xdr:cNvSpPr/>
      </xdr:nvSpPr>
      <xdr:spPr>
        <a:xfrm>
          <a:off x="6505575" y="4210049"/>
          <a:ext cx="1304925" cy="21907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 Dashboard</a:t>
          </a:r>
        </a:p>
      </xdr:txBody>
    </xdr:sp>
    <xdr:clientData/>
  </xdr:twoCellAnchor>
  <xdr:twoCellAnchor>
    <xdr:from>
      <xdr:col>18</xdr:col>
      <xdr:colOff>100012</xdr:colOff>
      <xdr:row>22</xdr:row>
      <xdr:rowOff>147637</xdr:rowOff>
    </xdr:from>
    <xdr:to>
      <xdr:col>19</xdr:col>
      <xdr:colOff>461962</xdr:colOff>
      <xdr:row>23</xdr:row>
      <xdr:rowOff>147637</xdr:rowOff>
    </xdr:to>
    <xdr:sp macro="[0]!gotoExamples" textlink="">
      <xdr:nvSpPr>
        <xdr:cNvPr id="3" name="Rounded Rectangle 2">
          <a:extLst>
            <a:ext uri="{FF2B5EF4-FFF2-40B4-BE49-F238E27FC236}">
              <a16:creationId xmlns="" xmlns:a16="http://schemas.microsoft.com/office/drawing/2014/main" id="{00000000-0008-0000-0300-000003000000}"/>
            </a:ext>
          </a:extLst>
        </xdr:cNvPr>
        <xdr:cNvSpPr/>
      </xdr:nvSpPr>
      <xdr:spPr>
        <a:xfrm>
          <a:off x="6500812" y="4471987"/>
          <a:ext cx="1314450" cy="2000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Examples</a:t>
          </a:r>
        </a:p>
      </xdr:txBody>
    </xdr:sp>
    <xdr:clientData/>
  </xdr:twoCellAnchor>
  <xdr:twoCellAnchor>
    <xdr:from>
      <xdr:col>18</xdr:col>
      <xdr:colOff>100012</xdr:colOff>
      <xdr:row>23</xdr:row>
      <xdr:rowOff>190500</xdr:rowOff>
    </xdr:from>
    <xdr:to>
      <xdr:col>19</xdr:col>
      <xdr:colOff>461962</xdr:colOff>
      <xdr:row>24</xdr:row>
      <xdr:rowOff>190500</xdr:rowOff>
    </xdr:to>
    <xdr:sp macro="[0]!Clear_SolveBin" textlink="">
      <xdr:nvSpPr>
        <xdr:cNvPr id="4" name="Rounded Rectangle 3">
          <a:extLst>
            <a:ext uri="{FF2B5EF4-FFF2-40B4-BE49-F238E27FC236}">
              <a16:creationId xmlns="" xmlns:a16="http://schemas.microsoft.com/office/drawing/2014/main" id="{00000000-0008-0000-0300-000004000000}"/>
            </a:ext>
          </a:extLst>
        </xdr:cNvPr>
        <xdr:cNvSpPr/>
      </xdr:nvSpPr>
      <xdr:spPr>
        <a:xfrm>
          <a:off x="6500812" y="4714875"/>
          <a:ext cx="1314450" cy="2000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Clear</a:t>
          </a:r>
          <a:r>
            <a:rPr lang="en-US" sz="1200" b="1" baseline="0">
              <a:solidFill>
                <a:schemeClr val="tx1"/>
              </a:solidFill>
            </a:rPr>
            <a:t> all data</a:t>
          </a:r>
          <a:endParaRPr lang="en-US"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251887</xdr:colOff>
      <xdr:row>46</xdr:row>
      <xdr:rowOff>76200</xdr:rowOff>
    </xdr:from>
    <xdr:to>
      <xdr:col>12</xdr:col>
      <xdr:colOff>823388</xdr:colOff>
      <xdr:row>47</xdr:row>
      <xdr:rowOff>85725</xdr:rowOff>
    </xdr:to>
    <xdr:sp macro="[0]!RtnDashboard_solveRRC" textlink="">
      <xdr:nvSpPr>
        <xdr:cNvPr id="2" name="Rounded Rectangle 1">
          <a:extLst>
            <a:ext uri="{FF2B5EF4-FFF2-40B4-BE49-F238E27FC236}">
              <a16:creationId xmlns="" xmlns:a16="http://schemas.microsoft.com/office/drawing/2014/main" id="{00000000-0008-0000-0400-000002000000}"/>
            </a:ext>
          </a:extLst>
        </xdr:cNvPr>
        <xdr:cNvSpPr/>
      </xdr:nvSpPr>
      <xdr:spPr>
        <a:xfrm>
          <a:off x="8972554" y="6098117"/>
          <a:ext cx="1301751" cy="200025"/>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 Dashboard</a:t>
          </a:r>
        </a:p>
      </xdr:txBody>
    </xdr:sp>
    <xdr:clientData/>
  </xdr:twoCellAnchor>
  <xdr:twoCellAnchor>
    <xdr:from>
      <xdr:col>11</xdr:col>
      <xdr:colOff>247125</xdr:colOff>
      <xdr:row>47</xdr:row>
      <xdr:rowOff>140228</xdr:rowOff>
    </xdr:from>
    <xdr:to>
      <xdr:col>12</xdr:col>
      <xdr:colOff>828150</xdr:colOff>
      <xdr:row>48</xdr:row>
      <xdr:rowOff>159278</xdr:rowOff>
    </xdr:to>
    <xdr:sp macro="[0]!gotoExamples" textlink="">
      <xdr:nvSpPr>
        <xdr:cNvPr id="3" name="Rounded Rectangle 2">
          <a:extLst>
            <a:ext uri="{FF2B5EF4-FFF2-40B4-BE49-F238E27FC236}">
              <a16:creationId xmlns="" xmlns:a16="http://schemas.microsoft.com/office/drawing/2014/main" id="{00000000-0008-0000-0400-000003000000}"/>
            </a:ext>
          </a:extLst>
        </xdr:cNvPr>
        <xdr:cNvSpPr/>
      </xdr:nvSpPr>
      <xdr:spPr>
        <a:xfrm>
          <a:off x="8967792" y="6352645"/>
          <a:ext cx="1311275" cy="209550"/>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Examples</a:t>
          </a:r>
        </a:p>
      </xdr:txBody>
    </xdr:sp>
    <xdr:clientData/>
  </xdr:twoCellAnchor>
  <xdr:twoCellAnchor>
    <xdr:from>
      <xdr:col>11</xdr:col>
      <xdr:colOff>247125</xdr:colOff>
      <xdr:row>49</xdr:row>
      <xdr:rowOff>12697</xdr:rowOff>
    </xdr:from>
    <xdr:to>
      <xdr:col>12</xdr:col>
      <xdr:colOff>828150</xdr:colOff>
      <xdr:row>50</xdr:row>
      <xdr:rowOff>31747</xdr:rowOff>
    </xdr:to>
    <xdr:sp macro="[0]!Clear_SolveRRC" textlink="">
      <xdr:nvSpPr>
        <xdr:cNvPr id="4" name="Rounded Rectangle 3">
          <a:extLst>
            <a:ext uri="{FF2B5EF4-FFF2-40B4-BE49-F238E27FC236}">
              <a16:creationId xmlns="" xmlns:a16="http://schemas.microsoft.com/office/drawing/2014/main" id="{00000000-0008-0000-0400-000004000000}"/>
            </a:ext>
          </a:extLst>
        </xdr:cNvPr>
        <xdr:cNvSpPr/>
      </xdr:nvSpPr>
      <xdr:spPr>
        <a:xfrm>
          <a:off x="8967792" y="6616697"/>
          <a:ext cx="1311275" cy="209550"/>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Clear</a:t>
          </a:r>
          <a:r>
            <a:rPr lang="en-US" sz="1200" b="1" baseline="0">
              <a:solidFill>
                <a:schemeClr val="tx1"/>
              </a:solidFill>
            </a:rPr>
            <a:t> all data</a:t>
          </a:r>
          <a:endParaRPr lang="en-US" sz="12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190500</xdr:colOff>
      <xdr:row>6</xdr:row>
      <xdr:rowOff>95250</xdr:rowOff>
    </xdr:from>
    <xdr:to>
      <xdr:col>15</xdr:col>
      <xdr:colOff>437320</xdr:colOff>
      <xdr:row>7</xdr:row>
      <xdr:rowOff>120098</xdr:rowOff>
    </xdr:to>
    <xdr:sp macro="[0]!Rtn_AG" textlink="">
      <xdr:nvSpPr>
        <xdr:cNvPr id="2" name="Rounded Rectangle 1">
          <a:extLst>
            <a:ext uri="{FF2B5EF4-FFF2-40B4-BE49-F238E27FC236}">
              <a16:creationId xmlns="" xmlns:a16="http://schemas.microsoft.com/office/drawing/2014/main" id="{00000000-0008-0000-0900-000002000000}"/>
            </a:ext>
          </a:extLst>
        </xdr:cNvPr>
        <xdr:cNvSpPr/>
      </xdr:nvSpPr>
      <xdr:spPr>
        <a:xfrm>
          <a:off x="9267825" y="714375"/>
          <a:ext cx="1466020" cy="215348"/>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Rtn_Axelson_Gail</a:t>
          </a:r>
        </a:p>
      </xdr:txBody>
    </xdr:sp>
    <xdr:clientData/>
  </xdr:twoCellAnchor>
  <xdr:twoCellAnchor>
    <xdr:from>
      <xdr:col>13</xdr:col>
      <xdr:colOff>190500</xdr:colOff>
      <xdr:row>7</xdr:row>
      <xdr:rowOff>149225</xdr:rowOff>
    </xdr:from>
    <xdr:to>
      <xdr:col>15</xdr:col>
      <xdr:colOff>437320</xdr:colOff>
      <xdr:row>8</xdr:row>
      <xdr:rowOff>174073</xdr:rowOff>
    </xdr:to>
    <xdr:sp macro="[0]!Rtn_IndrctAdj" textlink="">
      <xdr:nvSpPr>
        <xdr:cNvPr id="3" name="Rounded Rectangle 2">
          <a:extLst>
            <a:ext uri="{FF2B5EF4-FFF2-40B4-BE49-F238E27FC236}">
              <a16:creationId xmlns="" xmlns:a16="http://schemas.microsoft.com/office/drawing/2014/main" id="{00000000-0008-0000-0900-000003000000}"/>
            </a:ext>
          </a:extLst>
        </xdr:cNvPr>
        <xdr:cNvSpPr/>
      </xdr:nvSpPr>
      <xdr:spPr>
        <a:xfrm>
          <a:off x="9267825" y="968375"/>
          <a:ext cx="1466020" cy="215348"/>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effectLst/>
              <a:latin typeface="+mn-lt"/>
              <a:ea typeface="+mn-ea"/>
              <a:cs typeface="+mn-cs"/>
            </a:rPr>
            <a:t>Rtn_IndirectAdj</a:t>
          </a:r>
          <a:endParaRPr lang="en-US" sz="1200">
            <a:solidFill>
              <a:schemeClr val="tx1"/>
            </a:solidFill>
          </a:endParaRPr>
        </a:p>
      </xdr:txBody>
    </xdr:sp>
    <xdr:clientData/>
  </xdr:twoCellAnchor>
  <xdr:twoCellAnchor>
    <xdr:from>
      <xdr:col>13</xdr:col>
      <xdr:colOff>190500</xdr:colOff>
      <xdr:row>9</xdr:row>
      <xdr:rowOff>12700</xdr:rowOff>
    </xdr:from>
    <xdr:to>
      <xdr:col>15</xdr:col>
      <xdr:colOff>437320</xdr:colOff>
      <xdr:row>10</xdr:row>
      <xdr:rowOff>37548</xdr:rowOff>
    </xdr:to>
    <xdr:sp macro="[0]!Rtn_SolveCFBin" textlink="">
      <xdr:nvSpPr>
        <xdr:cNvPr id="4" name="Rounded Rectangle 3">
          <a:extLst>
            <a:ext uri="{FF2B5EF4-FFF2-40B4-BE49-F238E27FC236}">
              <a16:creationId xmlns="" xmlns:a16="http://schemas.microsoft.com/office/drawing/2014/main" id="{00000000-0008-0000-0900-000004000000}"/>
            </a:ext>
          </a:extLst>
        </xdr:cNvPr>
        <xdr:cNvSpPr/>
      </xdr:nvSpPr>
      <xdr:spPr>
        <a:xfrm>
          <a:off x="9267825" y="1212850"/>
          <a:ext cx="1466020" cy="215348"/>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Rtn_SolveCFBin</a:t>
          </a:r>
        </a:p>
      </xdr:txBody>
    </xdr:sp>
    <xdr:clientData/>
  </xdr:twoCellAnchor>
  <xdr:twoCellAnchor>
    <xdr:from>
      <xdr:col>13</xdr:col>
      <xdr:colOff>190500</xdr:colOff>
      <xdr:row>10</xdr:row>
      <xdr:rowOff>66675</xdr:rowOff>
    </xdr:from>
    <xdr:to>
      <xdr:col>15</xdr:col>
      <xdr:colOff>437320</xdr:colOff>
      <xdr:row>11</xdr:row>
      <xdr:rowOff>91523</xdr:rowOff>
    </xdr:to>
    <xdr:sp macro="[0]!Rtn_Solve_RRC" textlink="">
      <xdr:nvSpPr>
        <xdr:cNvPr id="5" name="Rounded Rectangle 4">
          <a:extLst>
            <a:ext uri="{FF2B5EF4-FFF2-40B4-BE49-F238E27FC236}">
              <a16:creationId xmlns="" xmlns:a16="http://schemas.microsoft.com/office/drawing/2014/main" id="{00000000-0008-0000-0900-000005000000}"/>
            </a:ext>
          </a:extLst>
        </xdr:cNvPr>
        <xdr:cNvSpPr/>
      </xdr:nvSpPr>
      <xdr:spPr>
        <a:xfrm>
          <a:off x="9267825" y="1447800"/>
          <a:ext cx="1466020" cy="215348"/>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effectLst/>
              <a:latin typeface="+mn-lt"/>
              <a:ea typeface="+mn-ea"/>
              <a:cs typeface="+mn-cs"/>
            </a:rPr>
            <a:t>Rtn_Solve_RRC</a:t>
          </a:r>
          <a:endParaRPr lang="en-US" sz="1200">
            <a:solidFill>
              <a:schemeClr val="tx1"/>
            </a:solidFill>
          </a:endParaRPr>
        </a:p>
      </xdr:txBody>
    </xdr:sp>
    <xdr:clientData/>
  </xdr:twoCellAnchor>
  <xdr:twoCellAnchor>
    <xdr:from>
      <xdr:col>13</xdr:col>
      <xdr:colOff>190500</xdr:colOff>
      <xdr:row>4</xdr:row>
      <xdr:rowOff>104775</xdr:rowOff>
    </xdr:from>
    <xdr:to>
      <xdr:col>15</xdr:col>
      <xdr:colOff>438150</xdr:colOff>
      <xdr:row>5</xdr:row>
      <xdr:rowOff>123825</xdr:rowOff>
    </xdr:to>
    <xdr:sp macro="[0]!RtnDash_exam" textlink="">
      <xdr:nvSpPr>
        <xdr:cNvPr id="6" name="Rounded Rectangle 5">
          <a:extLst>
            <a:ext uri="{FF2B5EF4-FFF2-40B4-BE49-F238E27FC236}">
              <a16:creationId xmlns="" xmlns:a16="http://schemas.microsoft.com/office/drawing/2014/main" id="{00000000-0008-0000-0900-000006000000}"/>
            </a:ext>
          </a:extLst>
        </xdr:cNvPr>
        <xdr:cNvSpPr/>
      </xdr:nvSpPr>
      <xdr:spPr>
        <a:xfrm>
          <a:off x="9267825" y="342900"/>
          <a:ext cx="1466850" cy="209550"/>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Rtn_Dashboard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xdr:colOff>
      <xdr:row>2</xdr:row>
      <xdr:rowOff>57150</xdr:rowOff>
    </xdr:from>
    <xdr:to>
      <xdr:col>5</xdr:col>
      <xdr:colOff>265641</xdr:colOff>
      <xdr:row>3</xdr:row>
      <xdr:rowOff>66675</xdr:rowOff>
    </xdr:to>
    <xdr:sp macro="[0]!RtnDash_exam" textlink="">
      <xdr:nvSpPr>
        <xdr:cNvPr id="3" name="Rounded Rectangle 5">
          <a:extLst>
            <a:ext uri="{FF2B5EF4-FFF2-40B4-BE49-F238E27FC236}">
              <a16:creationId xmlns="" xmlns:a16="http://schemas.microsoft.com/office/drawing/2014/main" id="{B808E0CD-62C4-4EB8-BD91-4A9487A41D59}"/>
            </a:ext>
          </a:extLst>
        </xdr:cNvPr>
        <xdr:cNvSpPr/>
      </xdr:nvSpPr>
      <xdr:spPr>
        <a:xfrm>
          <a:off x="3952875" y="485775"/>
          <a:ext cx="1475316" cy="209550"/>
        </a:xfrm>
        <a:prstGeom prst="roundRect">
          <a:avLst/>
        </a:prstGeom>
        <a:solidFill>
          <a:schemeClr val="accent1">
            <a:alpha val="3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Rtn_Dashboard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ln w="9525"/>
      </a:spPr>
      <a:bodyPr vertOverflow="clip" horzOverflow="clip" rtlCol="0" anchor="ctr"/>
      <a:lstStyle>
        <a:defPPr marL="0" marR="0" indent="0" algn="ctr" defTabSz="914400" eaLnBrk="1" fontAlgn="auto" latinLnBrk="0" hangingPunct="1">
          <a:lnSpc>
            <a:spcPct val="100000"/>
          </a:lnSpc>
          <a:spcBef>
            <a:spcPts val="0"/>
          </a:spcBef>
          <a:spcAft>
            <a:spcPts val="0"/>
          </a:spcAft>
          <a:buClrTx/>
          <a:buSzTx/>
          <a:buFontTx/>
          <a:buNone/>
          <a:tabLst/>
          <a:defRPr sz="1200" b="1">
            <a:solidFill>
              <a:schemeClr val="tx1"/>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R38"/>
  <sheetViews>
    <sheetView tabSelected="1" zoomScale="90" zoomScaleNormal="90" workbookViewId="0">
      <selection activeCell="C22" sqref="C22:C26"/>
    </sheetView>
  </sheetViews>
  <sheetFormatPr defaultRowHeight="15" x14ac:dyDescent="0.25"/>
  <cols>
    <col min="1" max="1" width="2.28515625" style="236" customWidth="1"/>
    <col min="2" max="2" width="29.5703125" style="236" customWidth="1"/>
    <col min="3" max="3" width="30.5703125" style="236" customWidth="1"/>
    <col min="4" max="4" width="18.28515625" style="236" customWidth="1"/>
    <col min="5" max="5" width="15.28515625" style="236" customWidth="1"/>
    <col min="6" max="6" width="13.140625" style="236" customWidth="1"/>
    <col min="7" max="7" width="8.140625" style="236" customWidth="1"/>
    <col min="8" max="8" width="17.7109375" style="236" customWidth="1"/>
    <col min="9" max="9" width="2.5703125" style="236" customWidth="1"/>
    <col min="10" max="10" width="12.85546875" style="242" customWidth="1"/>
    <col min="11" max="11" width="12.7109375" style="242" customWidth="1"/>
    <col min="12" max="16" width="9.140625" style="242"/>
    <col min="17" max="17" width="7.85546875" style="242" customWidth="1"/>
    <col min="18" max="18" width="6.85546875" style="242" customWidth="1"/>
    <col min="19" max="16384" width="9.140625" style="236"/>
  </cols>
  <sheetData>
    <row r="1" spans="2:18" ht="13.5" customHeight="1" x14ac:dyDescent="0.25"/>
    <row r="2" spans="2:18" ht="18.75" customHeight="1" x14ac:dyDescent="0.25">
      <c r="B2" s="896" t="s">
        <v>248</v>
      </c>
      <c r="C2" s="897"/>
      <c r="D2" s="897"/>
      <c r="E2" s="897"/>
      <c r="F2" s="897"/>
      <c r="G2" s="897"/>
      <c r="H2" s="898"/>
      <c r="J2" s="853" t="s">
        <v>274</v>
      </c>
      <c r="K2" s="759" t="s">
        <v>206</v>
      </c>
      <c r="L2" s="760" t="s">
        <v>94</v>
      </c>
      <c r="M2" s="757"/>
      <c r="N2" s="757"/>
      <c r="O2" s="757"/>
      <c r="P2" s="757"/>
      <c r="Q2" s="757"/>
      <c r="R2" s="856"/>
    </row>
    <row r="3" spans="2:18" ht="17.25" customHeight="1" x14ac:dyDescent="0.25">
      <c r="B3" s="845" t="s">
        <v>316</v>
      </c>
      <c r="C3" s="847" t="s">
        <v>224</v>
      </c>
      <c r="D3" s="846" t="s">
        <v>320</v>
      </c>
      <c r="E3" s="848"/>
      <c r="F3" s="848"/>
      <c r="G3" s="849"/>
      <c r="H3" s="850" t="s">
        <v>165</v>
      </c>
      <c r="I3" s="237"/>
      <c r="J3" s="888" t="s">
        <v>146</v>
      </c>
      <c r="K3" s="889"/>
      <c r="L3" s="854"/>
      <c r="M3" s="854"/>
      <c r="N3" s="854"/>
      <c r="O3" s="854"/>
      <c r="P3" s="854"/>
      <c r="Q3" s="854"/>
      <c r="R3" s="855"/>
    </row>
    <row r="4" spans="2:18" ht="15.75" x14ac:dyDescent="0.25">
      <c r="B4" s="851" t="s">
        <v>307</v>
      </c>
      <c r="C4" s="833"/>
      <c r="D4" s="234"/>
      <c r="E4" s="234"/>
      <c r="F4" s="234"/>
      <c r="G4" s="234"/>
      <c r="H4" s="837"/>
      <c r="I4" s="238"/>
      <c r="J4" s="247" t="s">
        <v>31</v>
      </c>
      <c r="K4" s="234" t="s">
        <v>200</v>
      </c>
      <c r="L4" s="234"/>
      <c r="M4" s="234"/>
      <c r="N4" s="234"/>
      <c r="O4" s="234"/>
      <c r="P4" s="234"/>
      <c r="Q4" s="234"/>
      <c r="R4" s="235"/>
    </row>
    <row r="5" spans="2:18" ht="15.75" customHeight="1" x14ac:dyDescent="0.25">
      <c r="B5" s="247" t="s">
        <v>318</v>
      </c>
      <c r="C5" s="834"/>
      <c r="D5" s="234" t="s">
        <v>312</v>
      </c>
      <c r="E5" s="234"/>
      <c r="F5" s="234"/>
      <c r="G5" s="234"/>
      <c r="H5" s="838" t="s">
        <v>214</v>
      </c>
      <c r="I5" s="239"/>
      <c r="J5" s="247" t="s">
        <v>147</v>
      </c>
      <c r="K5" s="234" t="s">
        <v>213</v>
      </c>
      <c r="L5" s="234"/>
      <c r="M5" s="234"/>
      <c r="N5" s="234"/>
      <c r="O5" s="234"/>
      <c r="P5" s="234"/>
      <c r="Q5" s="234"/>
      <c r="R5" s="235"/>
    </row>
    <row r="6" spans="2:18" ht="9.75" customHeight="1" x14ac:dyDescent="0.25">
      <c r="B6" s="247"/>
      <c r="C6" s="834"/>
      <c r="D6" s="234"/>
      <c r="E6" s="234"/>
      <c r="F6" s="234"/>
      <c r="G6" s="234"/>
      <c r="H6" s="838"/>
      <c r="I6" s="240"/>
      <c r="J6" s="247" t="s">
        <v>107</v>
      </c>
      <c r="K6" s="234" t="s">
        <v>201</v>
      </c>
      <c r="L6" s="234"/>
      <c r="M6" s="234"/>
      <c r="N6" s="234"/>
      <c r="O6" s="234"/>
      <c r="P6" s="234"/>
      <c r="Q6" s="234"/>
      <c r="R6" s="235"/>
    </row>
    <row r="7" spans="2:18" ht="15" customHeight="1" x14ac:dyDescent="0.25">
      <c r="B7" s="247" t="s">
        <v>249</v>
      </c>
      <c r="C7" s="834"/>
      <c r="D7" s="234" t="s">
        <v>317</v>
      </c>
      <c r="E7" s="832"/>
      <c r="F7" s="832"/>
      <c r="G7" s="832"/>
      <c r="H7" s="838"/>
      <c r="I7" s="241"/>
      <c r="J7" s="247" t="s">
        <v>54</v>
      </c>
      <c r="K7" s="234" t="s">
        <v>212</v>
      </c>
      <c r="L7" s="234"/>
      <c r="M7" s="234"/>
      <c r="N7" s="234"/>
      <c r="O7" s="234"/>
      <c r="P7" s="234"/>
      <c r="Q7" s="234"/>
      <c r="R7" s="235"/>
    </row>
    <row r="8" spans="2:18" ht="15.75" customHeight="1" x14ac:dyDescent="0.25">
      <c r="B8" s="762"/>
      <c r="C8" s="835"/>
      <c r="D8" s="841"/>
      <c r="E8" s="841"/>
      <c r="F8" s="841"/>
      <c r="G8" s="841"/>
      <c r="H8" s="839"/>
      <c r="I8" s="239"/>
      <c r="J8" s="247" t="s">
        <v>159</v>
      </c>
      <c r="K8" s="234" t="s">
        <v>148</v>
      </c>
      <c r="L8" s="234"/>
      <c r="M8" s="234"/>
      <c r="N8" s="234"/>
      <c r="O8" s="234"/>
      <c r="P8" s="234"/>
      <c r="Q8" s="234"/>
      <c r="R8" s="235"/>
    </row>
    <row r="9" spans="2:18" ht="15.75" x14ac:dyDescent="0.25">
      <c r="B9" s="852" t="s">
        <v>308</v>
      </c>
      <c r="C9" s="893"/>
      <c r="D9" s="843" t="s">
        <v>315</v>
      </c>
      <c r="E9" s="757"/>
      <c r="F9" s="757"/>
      <c r="G9" s="757"/>
      <c r="H9" s="837"/>
      <c r="I9" s="240"/>
      <c r="J9" s="247" t="s">
        <v>70</v>
      </c>
      <c r="K9" s="234" t="s">
        <v>282</v>
      </c>
      <c r="L9" s="234"/>
      <c r="M9" s="234"/>
      <c r="N9" s="234"/>
      <c r="O9" s="234"/>
      <c r="P9" s="234"/>
      <c r="Q9" s="234"/>
      <c r="R9" s="235"/>
    </row>
    <row r="10" spans="2:18" ht="15.75" x14ac:dyDescent="0.25">
      <c r="B10" s="247" t="s">
        <v>313</v>
      </c>
      <c r="C10" s="894"/>
      <c r="D10" s="234" t="s">
        <v>335</v>
      </c>
      <c r="E10" s="234"/>
      <c r="F10" s="234"/>
      <c r="G10" s="234"/>
      <c r="H10" s="838" t="s">
        <v>169</v>
      </c>
      <c r="I10" s="239"/>
      <c r="J10" s="247" t="s">
        <v>15</v>
      </c>
      <c r="K10" s="234" t="s">
        <v>281</v>
      </c>
      <c r="L10" s="234"/>
      <c r="M10" s="234"/>
      <c r="N10" s="234"/>
      <c r="O10" s="234"/>
      <c r="P10" s="234"/>
      <c r="Q10" s="234"/>
      <c r="R10" s="235"/>
    </row>
    <row r="11" spans="2:18" ht="15.75" x14ac:dyDescent="0.25">
      <c r="B11" s="247"/>
      <c r="C11" s="894"/>
      <c r="D11" s="234"/>
      <c r="E11" s="234"/>
      <c r="F11" s="234"/>
      <c r="G11" s="234"/>
      <c r="H11" s="838"/>
      <c r="I11" s="240"/>
      <c r="J11" s="247" t="s">
        <v>21</v>
      </c>
      <c r="K11" s="234" t="s">
        <v>280</v>
      </c>
      <c r="L11" s="234"/>
      <c r="M11" s="234"/>
      <c r="N11" s="234"/>
      <c r="O11" s="234"/>
      <c r="P11" s="234"/>
      <c r="Q11" s="234"/>
      <c r="R11" s="235"/>
    </row>
    <row r="12" spans="2:18" ht="15.75" x14ac:dyDescent="0.25">
      <c r="B12" s="247"/>
      <c r="C12" s="894"/>
      <c r="D12" s="234" t="s">
        <v>334</v>
      </c>
      <c r="E12" s="234"/>
      <c r="F12" s="234"/>
      <c r="G12" s="234"/>
      <c r="H12" s="838"/>
      <c r="I12" s="240"/>
      <c r="J12" s="247" t="s">
        <v>68</v>
      </c>
      <c r="K12" s="234" t="s">
        <v>276</v>
      </c>
      <c r="L12" s="234"/>
      <c r="M12" s="234"/>
      <c r="N12" s="234"/>
      <c r="O12" s="234"/>
      <c r="P12" s="234"/>
      <c r="Q12" s="234"/>
      <c r="R12" s="235"/>
    </row>
    <row r="13" spans="2:18" ht="15.75" x14ac:dyDescent="0.25">
      <c r="B13" s="247"/>
      <c r="C13" s="894"/>
      <c r="D13" s="234"/>
      <c r="E13" s="234"/>
      <c r="F13" s="234"/>
      <c r="G13" s="234"/>
      <c r="H13" s="838"/>
      <c r="I13" s="239"/>
      <c r="J13" s="247" t="s">
        <v>16</v>
      </c>
      <c r="K13" s="234" t="s">
        <v>279</v>
      </c>
      <c r="L13" s="234"/>
      <c r="M13" s="234"/>
      <c r="N13" s="234"/>
      <c r="O13" s="234"/>
      <c r="P13" s="234"/>
      <c r="Q13" s="234"/>
      <c r="R13" s="235"/>
    </row>
    <row r="14" spans="2:18" ht="15.75" x14ac:dyDescent="0.25">
      <c r="B14" s="247"/>
      <c r="C14" s="894"/>
      <c r="D14" s="234" t="s">
        <v>309</v>
      </c>
      <c r="E14" s="234"/>
      <c r="F14" s="234"/>
      <c r="G14" s="234"/>
      <c r="H14" s="838"/>
      <c r="I14" s="240"/>
      <c r="J14" s="247" t="s">
        <v>27</v>
      </c>
      <c r="K14" s="234" t="s">
        <v>278</v>
      </c>
      <c r="L14" s="234"/>
      <c r="M14" s="234"/>
      <c r="N14" s="234"/>
      <c r="O14" s="234"/>
      <c r="P14" s="234"/>
      <c r="Q14" s="234"/>
      <c r="R14" s="235"/>
    </row>
    <row r="15" spans="2:18" ht="14.25" customHeight="1" x14ac:dyDescent="0.25">
      <c r="B15" s="247"/>
      <c r="C15" s="894"/>
      <c r="D15" s="234" t="s">
        <v>333</v>
      </c>
      <c r="E15" s="234"/>
      <c r="F15" s="234"/>
      <c r="G15" s="234"/>
      <c r="H15" s="838"/>
      <c r="I15" s="240"/>
      <c r="J15" s="247" t="s">
        <v>69</v>
      </c>
      <c r="K15" s="234" t="s">
        <v>277</v>
      </c>
      <c r="L15" s="234"/>
      <c r="M15" s="234"/>
      <c r="N15" s="234"/>
      <c r="O15" s="234"/>
      <c r="P15" s="234"/>
      <c r="Q15" s="234"/>
      <c r="R15" s="235"/>
    </row>
    <row r="16" spans="2:18" ht="15.75" customHeight="1" x14ac:dyDescent="0.25">
      <c r="B16" s="247"/>
      <c r="C16" s="895"/>
      <c r="D16" s="234" t="s">
        <v>319</v>
      </c>
      <c r="E16" s="234"/>
      <c r="F16" s="234"/>
      <c r="G16" s="234"/>
      <c r="H16" s="838"/>
      <c r="J16" s="247" t="s">
        <v>92</v>
      </c>
      <c r="K16" s="234" t="s">
        <v>321</v>
      </c>
      <c r="L16" s="234"/>
      <c r="M16" s="234"/>
      <c r="N16" s="234"/>
      <c r="O16" s="234"/>
      <c r="P16" s="234"/>
      <c r="Q16" s="234"/>
      <c r="R16" s="235"/>
    </row>
    <row r="17" spans="2:18" ht="15.75" x14ac:dyDescent="0.25">
      <c r="B17" s="852" t="s">
        <v>310</v>
      </c>
      <c r="C17" s="893"/>
      <c r="D17" s="844" t="s">
        <v>315</v>
      </c>
      <c r="E17" s="757"/>
      <c r="F17" s="757"/>
      <c r="G17" s="757"/>
      <c r="H17" s="890" t="s">
        <v>215</v>
      </c>
      <c r="I17" s="243"/>
      <c r="J17" s="247" t="s">
        <v>64</v>
      </c>
      <c r="K17" s="234" t="s">
        <v>322</v>
      </c>
      <c r="L17" s="234"/>
      <c r="M17" s="234"/>
      <c r="N17" s="234"/>
      <c r="O17" s="234"/>
      <c r="P17" s="234"/>
      <c r="Q17" s="234"/>
      <c r="R17" s="235"/>
    </row>
    <row r="18" spans="2:18" ht="15.75" customHeight="1" x14ac:dyDescent="0.25">
      <c r="B18" s="247" t="s">
        <v>283</v>
      </c>
      <c r="C18" s="894"/>
      <c r="D18" s="234" t="s">
        <v>329</v>
      </c>
      <c r="E18" s="234"/>
      <c r="F18" s="234"/>
      <c r="G18" s="234"/>
      <c r="H18" s="891"/>
      <c r="I18" s="242"/>
      <c r="J18" s="761" t="s">
        <v>275</v>
      </c>
      <c r="K18" s="234"/>
      <c r="L18" s="234"/>
      <c r="M18" s="234"/>
      <c r="N18" s="234"/>
      <c r="O18" s="234"/>
      <c r="P18" s="234"/>
      <c r="Q18" s="234"/>
      <c r="R18" s="235"/>
    </row>
    <row r="19" spans="2:18" x14ac:dyDescent="0.25">
      <c r="B19" s="247"/>
      <c r="C19" s="894"/>
      <c r="D19" s="234"/>
      <c r="E19" s="234"/>
      <c r="F19" s="234"/>
      <c r="G19" s="234"/>
      <c r="H19" s="891"/>
      <c r="I19" s="242"/>
      <c r="J19" s="247"/>
      <c r="K19" s="234"/>
      <c r="L19" s="234"/>
      <c r="M19" s="234"/>
      <c r="N19" s="234"/>
      <c r="O19" s="234"/>
      <c r="P19" s="234"/>
      <c r="Q19" s="234"/>
      <c r="R19" s="235"/>
    </row>
    <row r="20" spans="2:18" ht="15.75" x14ac:dyDescent="0.25">
      <c r="B20" s="247"/>
      <c r="C20" s="894"/>
      <c r="D20" s="234" t="s">
        <v>330</v>
      </c>
      <c r="E20" s="234"/>
      <c r="F20" s="234"/>
      <c r="G20" s="234"/>
      <c r="H20" s="891"/>
      <c r="I20" s="243"/>
      <c r="J20" s="851" t="s">
        <v>202</v>
      </c>
      <c r="K20" s="234"/>
      <c r="L20" s="234"/>
      <c r="M20" s="234"/>
      <c r="N20" s="234"/>
      <c r="O20" s="234"/>
      <c r="P20" s="234"/>
      <c r="Q20" s="234"/>
      <c r="R20" s="235"/>
    </row>
    <row r="21" spans="2:18" ht="15.75" x14ac:dyDescent="0.25">
      <c r="B21" s="762"/>
      <c r="C21" s="895"/>
      <c r="D21" s="755"/>
      <c r="E21" s="755"/>
      <c r="F21" s="755"/>
      <c r="G21" s="755"/>
      <c r="H21" s="892"/>
      <c r="I21" s="244"/>
      <c r="J21" s="247" t="s">
        <v>149</v>
      </c>
      <c r="K21" s="234" t="s">
        <v>151</v>
      </c>
      <c r="L21" s="234"/>
      <c r="M21" s="234"/>
      <c r="N21" s="234"/>
      <c r="O21" s="234"/>
      <c r="P21" s="234"/>
      <c r="Q21" s="234"/>
      <c r="R21" s="235"/>
    </row>
    <row r="22" spans="2:18" ht="15.75" x14ac:dyDescent="0.25">
      <c r="B22" s="852" t="s">
        <v>311</v>
      </c>
      <c r="C22" s="893"/>
      <c r="D22" s="844" t="s">
        <v>315</v>
      </c>
      <c r="E22" s="757"/>
      <c r="F22" s="757"/>
      <c r="G22" s="757"/>
      <c r="H22" s="890" t="s">
        <v>205</v>
      </c>
      <c r="I22" s="238"/>
      <c r="J22" s="247" t="s">
        <v>150</v>
      </c>
      <c r="K22" s="234" t="s">
        <v>152</v>
      </c>
      <c r="L22" s="234"/>
      <c r="M22" s="234"/>
      <c r="N22" s="234"/>
      <c r="O22" s="234"/>
      <c r="P22" s="234"/>
      <c r="Q22" s="234"/>
      <c r="R22" s="235"/>
    </row>
    <row r="23" spans="2:18" ht="15.75" x14ac:dyDescent="0.25">
      <c r="B23" s="247" t="s">
        <v>314</v>
      </c>
      <c r="C23" s="894"/>
      <c r="D23" s="234" t="s">
        <v>331</v>
      </c>
      <c r="E23" s="234"/>
      <c r="F23" s="234"/>
      <c r="G23" s="234"/>
      <c r="H23" s="891"/>
      <c r="I23" s="243"/>
      <c r="J23" s="247"/>
      <c r="K23" s="234"/>
      <c r="L23" s="234"/>
      <c r="M23" s="234"/>
      <c r="N23" s="234"/>
      <c r="O23" s="234"/>
      <c r="P23" s="234"/>
      <c r="Q23" s="234"/>
      <c r="R23" s="235"/>
    </row>
    <row r="24" spans="2:18" ht="15.75" x14ac:dyDescent="0.25">
      <c r="B24" s="247"/>
      <c r="C24" s="894"/>
      <c r="D24" s="234"/>
      <c r="E24" s="234"/>
      <c r="F24" s="234"/>
      <c r="G24" s="234"/>
      <c r="H24" s="891"/>
      <c r="I24" s="238"/>
      <c r="J24" s="851" t="s">
        <v>143</v>
      </c>
      <c r="K24" s="343" t="s">
        <v>306</v>
      </c>
      <c r="L24" s="234"/>
      <c r="M24" s="234"/>
      <c r="N24" s="234"/>
      <c r="O24" s="234"/>
      <c r="P24" s="234"/>
      <c r="Q24" s="234"/>
      <c r="R24" s="235"/>
    </row>
    <row r="25" spans="2:18" ht="15.75" x14ac:dyDescent="0.25">
      <c r="B25" s="247"/>
      <c r="C25" s="894"/>
      <c r="D25" s="234" t="s">
        <v>332</v>
      </c>
      <c r="E25" s="234"/>
      <c r="F25" s="234"/>
      <c r="G25" s="234"/>
      <c r="H25" s="891"/>
      <c r="I25" s="243"/>
      <c r="J25" s="248"/>
      <c r="K25" s="234" t="s">
        <v>144</v>
      </c>
      <c r="L25" s="234"/>
      <c r="M25" s="234"/>
      <c r="N25" s="234"/>
      <c r="O25" s="234"/>
      <c r="P25" s="234"/>
      <c r="Q25" s="234"/>
      <c r="R25" s="235"/>
    </row>
    <row r="26" spans="2:18" ht="15.75" x14ac:dyDescent="0.25">
      <c r="B26" s="762"/>
      <c r="C26" s="895"/>
      <c r="D26" s="755"/>
      <c r="E26" s="755"/>
      <c r="F26" s="755"/>
      <c r="G26" s="755"/>
      <c r="H26" s="892"/>
      <c r="I26" s="238"/>
      <c r="J26" s="248"/>
      <c r="K26" s="234" t="s">
        <v>157</v>
      </c>
      <c r="L26" s="234"/>
      <c r="M26" s="234"/>
      <c r="N26" s="234"/>
      <c r="O26" s="234"/>
      <c r="P26" s="234"/>
      <c r="Q26" s="234"/>
      <c r="R26" s="235"/>
    </row>
    <row r="27" spans="2:18" ht="23.25" customHeight="1" x14ac:dyDescent="0.25">
      <c r="B27" s="842"/>
      <c r="C27" s="836"/>
      <c r="D27" s="758"/>
      <c r="E27" s="758"/>
      <c r="F27" s="758"/>
      <c r="G27" s="758"/>
      <c r="H27" s="840" t="s">
        <v>131</v>
      </c>
      <c r="I27" s="243"/>
      <c r="J27" s="762"/>
      <c r="K27" s="752" t="s">
        <v>158</v>
      </c>
      <c r="L27" s="755"/>
      <c r="M27" s="755"/>
      <c r="N27" s="755"/>
      <c r="O27" s="755"/>
      <c r="P27" s="755"/>
      <c r="Q27" s="755"/>
      <c r="R27" s="756"/>
    </row>
    <row r="28" spans="2:18" ht="15" customHeight="1" x14ac:dyDescent="0.25">
      <c r="B28" s="245"/>
      <c r="I28" s="238"/>
    </row>
    <row r="29" spans="2:18" ht="15" customHeight="1" x14ac:dyDescent="0.25">
      <c r="B29" s="245"/>
      <c r="I29" s="243"/>
      <c r="J29" s="794" t="s">
        <v>299</v>
      </c>
    </row>
    <row r="30" spans="2:18" ht="15" customHeight="1" x14ac:dyDescent="0.25">
      <c r="J30" s="794">
        <v>1.1000000000000001</v>
      </c>
      <c r="K30" s="831" t="s">
        <v>303</v>
      </c>
      <c r="L30" s="242" t="s">
        <v>300</v>
      </c>
    </row>
    <row r="31" spans="2:18" x14ac:dyDescent="0.25">
      <c r="J31" s="794">
        <v>1.2</v>
      </c>
      <c r="K31" s="831" t="s">
        <v>304</v>
      </c>
      <c r="L31" s="242" t="s">
        <v>302</v>
      </c>
    </row>
    <row r="32" spans="2:18" x14ac:dyDescent="0.25">
      <c r="B32" s="246"/>
      <c r="E32" s="246"/>
      <c r="G32" s="246"/>
      <c r="H32" s="246"/>
      <c r="J32" s="794">
        <v>1.3</v>
      </c>
      <c r="K32" s="831" t="s">
        <v>336</v>
      </c>
      <c r="L32" s="885" t="s">
        <v>337</v>
      </c>
    </row>
    <row r="33" spans="2:11" x14ac:dyDescent="0.25">
      <c r="B33" s="246"/>
      <c r="G33" s="246"/>
      <c r="H33" s="246"/>
      <c r="J33" s="794"/>
      <c r="K33" s="886"/>
    </row>
    <row r="34" spans="2:11" x14ac:dyDescent="0.25">
      <c r="B34" s="246"/>
      <c r="K34" s="886"/>
    </row>
    <row r="35" spans="2:11" x14ac:dyDescent="0.25">
      <c r="K35" s="886"/>
    </row>
    <row r="36" spans="2:11" x14ac:dyDescent="0.25">
      <c r="K36" s="886"/>
    </row>
    <row r="37" spans="2:11" x14ac:dyDescent="0.25">
      <c r="K37" s="886"/>
    </row>
    <row r="38" spans="2:11" x14ac:dyDescent="0.25">
      <c r="K38" s="886"/>
    </row>
  </sheetData>
  <sheetProtection password="B8FF" sheet="1" objects="1" scenarios="1" formatCells="0" formatColumns="0" formatRows="0" insertColumns="0" insertRows="0" deleteColumns="0" deleteRows="0"/>
  <mergeCells count="7">
    <mergeCell ref="J3:K3"/>
    <mergeCell ref="H17:H21"/>
    <mergeCell ref="H22:H26"/>
    <mergeCell ref="C9:C16"/>
    <mergeCell ref="B2:H2"/>
    <mergeCell ref="C22:C26"/>
    <mergeCell ref="C17:C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M63"/>
  <sheetViews>
    <sheetView showGridLines="0" topLeftCell="A34" zoomScale="90" zoomScaleNormal="90" workbookViewId="0">
      <selection activeCell="A14" sqref="A14:XFD33"/>
    </sheetView>
  </sheetViews>
  <sheetFormatPr defaultRowHeight="15" x14ac:dyDescent="0.25"/>
  <cols>
    <col min="1" max="1" width="2.7109375" style="249" customWidth="1"/>
    <col min="2" max="2" width="13.140625" style="249" customWidth="1"/>
    <col min="3" max="3" width="12" style="249" customWidth="1"/>
    <col min="4" max="4" width="12.42578125" style="249" customWidth="1"/>
    <col min="5" max="5" width="13.140625" style="249" customWidth="1"/>
    <col min="6" max="6" width="12.28515625" style="249" customWidth="1"/>
    <col min="7" max="7" width="10.42578125" style="249" customWidth="1"/>
    <col min="8" max="8" width="11.140625" style="249" customWidth="1"/>
    <col min="9" max="9" width="9.140625" style="249" customWidth="1"/>
    <col min="10" max="10" width="11.5703125" style="249" customWidth="1"/>
    <col min="11" max="11" width="10.28515625" style="249" customWidth="1"/>
    <col min="12" max="12" width="14.7109375" style="249" customWidth="1"/>
    <col min="13" max="13" width="10.42578125" style="249" customWidth="1"/>
    <col min="14" max="14" width="8.140625" style="249" customWidth="1"/>
    <col min="15" max="15" width="11" style="249" customWidth="1"/>
    <col min="16" max="16" width="10.28515625" style="249" hidden="1" customWidth="1"/>
    <col min="17" max="17" width="13.140625" style="249" hidden="1" customWidth="1"/>
    <col min="18" max="18" width="11.7109375" style="249" hidden="1" customWidth="1"/>
    <col min="19" max="19" width="11.5703125" style="249" hidden="1" customWidth="1"/>
    <col min="20" max="20" width="10" style="249" hidden="1" customWidth="1"/>
    <col min="21" max="21" width="7.7109375" style="249" hidden="1" customWidth="1"/>
    <col min="22" max="16384" width="9.140625" style="249"/>
  </cols>
  <sheetData>
    <row r="1" spans="2:36" ht="12" hidden="1" customHeight="1" thickBot="1" x14ac:dyDescent="0.3"/>
    <row r="2" spans="2:36" ht="19.5" hidden="1" customHeight="1" thickBot="1" x14ac:dyDescent="0.3">
      <c r="B2" s="904" t="s">
        <v>323</v>
      </c>
      <c r="C2" s="905"/>
      <c r="D2" s="905"/>
      <c r="E2" s="905"/>
      <c r="F2" s="905"/>
      <c r="G2" s="905"/>
      <c r="H2" s="905"/>
      <c r="I2" s="905"/>
      <c r="J2" s="905"/>
      <c r="K2" s="905"/>
      <c r="L2" s="905"/>
      <c r="M2" s="905"/>
      <c r="N2" s="906"/>
      <c r="O2" s="252"/>
      <c r="P2" s="252"/>
      <c r="Q2" s="252"/>
      <c r="R2" s="252"/>
      <c r="S2" s="252"/>
      <c r="T2" s="250"/>
      <c r="U2" s="250"/>
    </row>
    <row r="3" spans="2:36" ht="19.5" hidden="1" customHeight="1" thickBot="1" x14ac:dyDescent="0.3">
      <c r="B3" s="285"/>
      <c r="C3" s="286"/>
      <c r="D3" s="286"/>
      <c r="E3" s="286"/>
      <c r="F3" s="286"/>
      <c r="G3" s="286"/>
      <c r="H3" s="286"/>
      <c r="I3" s="286"/>
      <c r="J3" s="286"/>
      <c r="K3" s="286"/>
      <c r="L3" s="286"/>
      <c r="M3" s="286"/>
      <c r="N3" s="287"/>
      <c r="O3" s="252"/>
      <c r="P3" s="252"/>
      <c r="Q3" s="725"/>
      <c r="R3" s="681" t="s">
        <v>252</v>
      </c>
      <c r="S3" s="709">
        <f>COUNTBLANK(R5:R9)+SUM(R10:R14)</f>
        <v>0</v>
      </c>
    </row>
    <row r="4" spans="2:36" ht="16.5" hidden="1" customHeight="1" thickBot="1" x14ac:dyDescent="0.3">
      <c r="B4" s="288"/>
      <c r="C4" s="252"/>
      <c r="D4" s="673"/>
      <c r="E4" s="252"/>
      <c r="F4" s="252"/>
      <c r="G4" s="901" t="s">
        <v>168</v>
      </c>
      <c r="H4" s="902"/>
      <c r="I4" s="903"/>
      <c r="J4" s="732"/>
      <c r="K4" s="907" t="s">
        <v>271</v>
      </c>
      <c r="L4" s="908"/>
      <c r="M4" s="732"/>
      <c r="N4" s="733"/>
      <c r="O4" s="725"/>
      <c r="P4" s="725"/>
      <c r="Q4" s="725"/>
      <c r="R4" s="725"/>
      <c r="S4" s="258"/>
      <c r="T4" s="679"/>
      <c r="U4" s="250"/>
      <c r="V4" s="250"/>
    </row>
    <row r="5" spans="2:36" ht="19.5" hidden="1" customHeight="1" thickBot="1" x14ac:dyDescent="0.3">
      <c r="B5" s="699" t="s">
        <v>88</v>
      </c>
      <c r="C5" s="219">
        <v>5</v>
      </c>
      <c r="D5" s="313" t="str">
        <f>IF(C5="","",IF(C5&gt;0,"","**Invalid entry**"))</f>
        <v/>
      </c>
      <c r="E5" s="673"/>
      <c r="F5" s="252"/>
      <c r="G5" s="795"/>
      <c r="H5" s="725"/>
      <c r="I5" s="726"/>
      <c r="J5" s="725"/>
      <c r="K5" s="725"/>
      <c r="L5" s="725"/>
      <c r="M5" s="725"/>
      <c r="N5" s="726"/>
      <c r="O5" s="725"/>
      <c r="P5" s="725"/>
      <c r="Q5" s="250"/>
      <c r="R5" s="284">
        <f>IF(C5&gt;0,C5,"")</f>
        <v>5</v>
      </c>
      <c r="S5" s="680"/>
      <c r="T5" s="679"/>
      <c r="U5" s="250"/>
      <c r="V5" s="250"/>
    </row>
    <row r="6" spans="2:36" ht="18" hidden="1" customHeight="1" thickBot="1" x14ac:dyDescent="0.3">
      <c r="B6" s="290" t="s">
        <v>81</v>
      </c>
      <c r="C6" s="220">
        <v>1.5</v>
      </c>
      <c r="D6" s="884" t="str">
        <f>IF(C6="","",IF(C6&gt;0,"","**Invalid entry**"))</f>
        <v/>
      </c>
      <c r="E6" s="255"/>
      <c r="F6" s="754"/>
      <c r="G6" s="273" t="s">
        <v>0</v>
      </c>
      <c r="H6" s="204">
        <f>IF(S3&gt;0,"",IF(R5="","",$R$5 / H7))</f>
        <v>5.454545454545455</v>
      </c>
      <c r="I6" s="804" t="str">
        <f>IF(H6="","",IF(H6&gt;=0,"","** Invalid value **"))</f>
        <v/>
      </c>
      <c r="J6" s="277"/>
      <c r="K6" s="283" t="s">
        <v>177</v>
      </c>
      <c r="L6" s="204">
        <f>IF(S3&gt;0,"",IF(C13="","",IF((C13&gt;0)*(C13&lt;1),(K8-M8*K10)/SQRT(M8*M9*K10*L10),"NA")))</f>
        <v>-0.21821789023599245</v>
      </c>
      <c r="M6" s="671" t="str">
        <f>IF(L6="","",IF(L6&gt;=-1,IF(L6&lt;=1,"","** Invalid value **"),"** Invalid value **"))</f>
        <v/>
      </c>
      <c r="N6" s="289"/>
      <c r="O6" s="250"/>
      <c r="P6" s="250"/>
      <c r="Q6" s="266"/>
      <c r="R6" s="281">
        <f>IF(C6&gt;0,C6,"")</f>
        <v>1.5</v>
      </c>
      <c r="S6" s="680"/>
      <c r="T6" s="679"/>
      <c r="U6" s="250"/>
      <c r="V6" s="250"/>
    </row>
    <row r="7" spans="2:36" ht="16.5" hidden="1" customHeight="1" thickBot="1" x14ac:dyDescent="0.3">
      <c r="B7" s="700" t="s">
        <v>89</v>
      </c>
      <c r="C7" s="221">
        <v>0.4</v>
      </c>
      <c r="D7" s="313" t="str">
        <f>IF(C7="","",IF(C7&gt;0,IF(C7&lt;1,"","**Invalid entry**"),"**Invalid entry**"))</f>
        <v/>
      </c>
      <c r="E7" s="717"/>
      <c r="F7" s="754"/>
      <c r="G7" s="273" t="s">
        <v>339</v>
      </c>
      <c r="H7" s="204">
        <f>IF(S3&gt;0,"",IF(R8="","",($R$8 * $R$6 + (1-$R$8) ) / ($R$7 * $R$6 + (1 - $R$7))))</f>
        <v>0.91666666666666663</v>
      </c>
      <c r="I7" s="804"/>
      <c r="J7" s="250"/>
      <c r="K7" s="282" t="s">
        <v>1</v>
      </c>
      <c r="L7" s="272" t="s">
        <v>2</v>
      </c>
      <c r="M7" s="272"/>
      <c r="N7" s="264"/>
      <c r="O7" s="266"/>
      <c r="P7" s="266"/>
      <c r="Q7" s="250"/>
      <c r="R7" s="281">
        <f>IF(C7&gt;0,C7,"")</f>
        <v>0.4</v>
      </c>
      <c r="S7" s="710"/>
      <c r="T7" s="679"/>
      <c r="U7" s="250"/>
      <c r="V7" s="250"/>
    </row>
    <row r="8" spans="2:36" ht="16.5" hidden="1" customHeight="1" thickBot="1" x14ac:dyDescent="0.3">
      <c r="B8" s="273"/>
      <c r="C8" s="718"/>
      <c r="D8" s="716"/>
      <c r="E8" s="675"/>
      <c r="F8" s="277"/>
      <c r="G8" s="875"/>
      <c r="H8" s="876"/>
      <c r="I8" s="877"/>
      <c r="J8" s="246" t="s">
        <v>82</v>
      </c>
      <c r="K8" s="580">
        <f>IF(S3&gt;0,"",IF(C13="","",IF((C13&gt;=0)*(C13&lt;=1),R8*K10,"")))</f>
        <v>0.12</v>
      </c>
      <c r="L8" s="577">
        <f>IF(S3&gt;0,"",IF(C13="","",IF((C13&gt;=0)*(C13&lt;=1),R7*L10,"")))</f>
        <v>0.16000000000000003</v>
      </c>
      <c r="M8" s="277">
        <f>IF(S3&gt;0,"",IF(C13="","",IF((C13&gt;=0)*(C13&lt;=1),K8+L8,"")))</f>
        <v>0.28000000000000003</v>
      </c>
      <c r="N8" s="264"/>
      <c r="O8" s="250"/>
      <c r="P8" s="250"/>
      <c r="Q8" s="250"/>
      <c r="R8" s="281">
        <f>IF(C10="",D11,C10)</f>
        <v>0.2</v>
      </c>
      <c r="S8" s="680"/>
      <c r="T8" s="679"/>
      <c r="U8" s="250"/>
      <c r="V8" s="250"/>
    </row>
    <row r="9" spans="2:36" ht="16.5" hidden="1" customHeight="1" thickBot="1" x14ac:dyDescent="0.3">
      <c r="B9" s="302" t="s">
        <v>250</v>
      </c>
      <c r="C9" s="717" t="str">
        <f>IF(COUNTBLANK(C10:C11)=0,"Error: enter only one: P(C=1 | X=1) or OR_X,C","")</f>
        <v/>
      </c>
      <c r="D9" s="713"/>
      <c r="F9" s="277"/>
      <c r="G9" s="901" t="s">
        <v>173</v>
      </c>
      <c r="H9" s="902"/>
      <c r="I9" s="903"/>
      <c r="J9" s="246" t="s">
        <v>83</v>
      </c>
      <c r="K9" s="581">
        <f>IF(S3&gt;0,"",IF(C13="","",IF((C13&gt;=0)*(C13&lt;=1),K10-K8,"")))</f>
        <v>0.48</v>
      </c>
      <c r="L9" s="579">
        <f>IF(S3&gt;0,"",IF(C13="","",IF((C13&gt;=0)*(C13&lt;=1),L10-L8,"")))</f>
        <v>0.24</v>
      </c>
      <c r="M9" s="277">
        <f>IF(S3&gt;0,"",IF(C13="","",IF((C13&gt;=0)*(C13&lt;=1),K9+L9,"")))</f>
        <v>0.72</v>
      </c>
      <c r="N9" s="264"/>
      <c r="O9" s="250"/>
      <c r="P9" s="250"/>
      <c r="Q9" s="250"/>
      <c r="R9" s="280">
        <f>IF(C11="",D10,C11)</f>
        <v>0.37499999999999989</v>
      </c>
      <c r="S9" s="680"/>
      <c r="T9" s="679"/>
      <c r="U9" s="250"/>
      <c r="V9" s="250"/>
    </row>
    <row r="10" spans="2:36" ht="16.5" hidden="1" customHeight="1" thickBot="1" x14ac:dyDescent="0.3">
      <c r="B10" s="699" t="s">
        <v>90</v>
      </c>
      <c r="C10" s="213">
        <v>0.2</v>
      </c>
      <c r="D10" s="203">
        <f>IF(COUNTBLANK(C5:C7)+COUNTBLANK(C10)=0,IF(SUM(R10:R12)&gt;0,"**Invalid**",C10*(1-C7)/(C7*(1-C10))),"")</f>
        <v>0.37499999999999989</v>
      </c>
      <c r="E10" s="697" t="str">
        <f>IF(C10="","",IF(D10="","",IF(D10="**Invalid**","","= OR_X,C")))</f>
        <v>= OR_X,C</v>
      </c>
      <c r="F10" s="246"/>
      <c r="G10" s="878"/>
      <c r="H10" s="676"/>
      <c r="I10" s="879"/>
      <c r="J10" s="277"/>
      <c r="K10" s="277">
        <f>IF(S3&gt;0,"",IF(C13="","",IF((C13&gt;=0)*(C13&lt;=1),C13,"")))</f>
        <v>0.6</v>
      </c>
      <c r="L10" s="277">
        <f>IF(S3&gt;0,"",IF(C13="","",IF((C13&gt;=0)*(C13&lt;=1),1-K10,"")))</f>
        <v>0.4</v>
      </c>
      <c r="M10" s="277">
        <f>IF(S3&gt;0,"",IF(C13="","",SUM(K8:L9)))</f>
        <v>1</v>
      </c>
      <c r="N10" s="274"/>
      <c r="O10" s="250"/>
      <c r="P10" s="250"/>
      <c r="Q10" s="685" t="s">
        <v>253</v>
      </c>
      <c r="R10" s="872">
        <f>IF(C7&gt;0,IF(C7&lt;1,0,1),1)</f>
        <v>0</v>
      </c>
      <c r="S10" s="249" t="s">
        <v>261</v>
      </c>
      <c r="T10" s="679"/>
      <c r="U10" s="250"/>
      <c r="V10" s="250"/>
    </row>
    <row r="11" spans="2:36" ht="16.5" hidden="1" customHeight="1" thickBot="1" x14ac:dyDescent="0.3">
      <c r="B11" s="700" t="s">
        <v>91</v>
      </c>
      <c r="C11" s="230"/>
      <c r="D11" s="203" t="str">
        <f>IF(COUNTBLANK(C5:C7)+COUNTBLANK(C11)=0,IF(((C11&lt;=0)+(R12&gt;0))&gt;0,"**Invalid**",C11*C7/(C11*C7+1-C7)),"")</f>
        <v/>
      </c>
      <c r="E11" s="698" t="str">
        <f>IF(C11="","",IF(D11="","",IF(D11="**Invalid**","","= P(C=1 | X=1)")))</f>
        <v/>
      </c>
      <c r="F11" s="754"/>
      <c r="G11" s="273" t="s">
        <v>204</v>
      </c>
      <c r="H11" s="204">
        <f>IF(S3&gt;0,"",IF(R5="","",(R5-1) * ((R6-1)*R7 + 1) - (R8-R7)*(R6-1)))</f>
        <v>4.8999999999999995</v>
      </c>
      <c r="I11" s="880" t="str">
        <f>IF(H11="","",IF(H11&gt;=-1,"","** Invalid value **"))</f>
        <v/>
      </c>
      <c r="J11" s="277"/>
      <c r="K11" s="277"/>
      <c r="L11" s="277"/>
      <c r="M11" s="277"/>
      <c r="N11" s="274"/>
      <c r="O11" s="250"/>
      <c r="P11" s="250"/>
      <c r="R11" s="873">
        <f>IF(C10="",0,IF(C10&gt;0,IF(C10&lt;1,0,1),1))</f>
        <v>0</v>
      </c>
      <c r="S11" s="249" t="s">
        <v>262</v>
      </c>
      <c r="T11" s="680"/>
    </row>
    <row r="12" spans="2:36" ht="16.5" hidden="1" customHeight="1" thickBot="1" x14ac:dyDescent="0.3">
      <c r="B12" s="678"/>
      <c r="C12" s="677"/>
      <c r="D12" s="526"/>
      <c r="E12" s="871"/>
      <c r="F12" s="754"/>
      <c r="G12" s="273" t="s">
        <v>338</v>
      </c>
      <c r="H12" s="204">
        <f>IF(S3&gt;0,"",IF(R5="","",(R5-1)/H11))</f>
        <v>0.81632653061224503</v>
      </c>
      <c r="I12" s="881"/>
      <c r="J12" s="277"/>
      <c r="K12" s="277"/>
      <c r="L12" s="277"/>
      <c r="M12" s="277"/>
      <c r="N12" s="274"/>
      <c r="O12" s="258"/>
      <c r="P12" s="258"/>
      <c r="R12" s="874">
        <f>IF(T12="",0,IF(T12&gt;0,IF(T12&lt;1,0,1),1))</f>
        <v>0</v>
      </c>
      <c r="S12" s="249" t="s">
        <v>262</v>
      </c>
      <c r="T12" s="715" t="str">
        <f>IF(COUNTBLANK(C5:C7)+COUNTBLANK(C11)=0,IF(C11&lt;=0,-999,C11*C7/(C11*C7+1-C7)),"")</f>
        <v/>
      </c>
    </row>
    <row r="13" spans="2:36" ht="16.5" hidden="1" customHeight="1" thickBot="1" x14ac:dyDescent="0.3">
      <c r="B13" s="701" t="s">
        <v>220</v>
      </c>
      <c r="C13" s="213">
        <v>0.6</v>
      </c>
      <c r="D13" s="333" t="s">
        <v>221</v>
      </c>
      <c r="E13" s="526"/>
      <c r="F13" s="252"/>
      <c r="G13" s="882"/>
      <c r="H13" s="883"/>
      <c r="I13" s="270"/>
      <c r="J13" s="250"/>
      <c r="K13" s="250"/>
      <c r="L13" s="250"/>
      <c r="M13" s="250"/>
      <c r="N13" s="264"/>
      <c r="R13" s="874">
        <f>IF(C9="",0,1)</f>
        <v>0</v>
      </c>
      <c r="S13" s="249" t="s">
        <v>272</v>
      </c>
    </row>
    <row r="14" spans="2:36" ht="16.5" hidden="1" customHeight="1" thickBot="1" x14ac:dyDescent="0.3">
      <c r="B14" s="273"/>
      <c r="C14" s="676" t="str">
        <f>IF(C13="","",IF(R14=0,"","**Invalid entry**"))</f>
        <v/>
      </c>
      <c r="D14" s="333"/>
      <c r="E14" s="251"/>
      <c r="F14" s="252"/>
      <c r="G14" s="253"/>
      <c r="H14" s="254"/>
      <c r="I14" s="250"/>
      <c r="J14" s="250"/>
      <c r="K14" s="250"/>
      <c r="L14" s="250"/>
      <c r="M14" s="250"/>
      <c r="N14" s="264"/>
      <c r="R14" s="314">
        <f>IF((C13&gt;=0)*(C13&lt;=1)=1,0,1)</f>
        <v>0</v>
      </c>
      <c r="S14" s="249" t="s">
        <v>263</v>
      </c>
    </row>
    <row r="15" spans="2:36" ht="21.75" hidden="1" thickBot="1" x14ac:dyDescent="0.3">
      <c r="B15" s="904" t="s">
        <v>324</v>
      </c>
      <c r="C15" s="905"/>
      <c r="D15" s="905"/>
      <c r="E15" s="905"/>
      <c r="F15" s="905"/>
      <c r="G15" s="905"/>
      <c r="H15" s="905"/>
      <c r="I15" s="905"/>
      <c r="J15" s="905"/>
      <c r="K15" s="905"/>
      <c r="L15" s="905"/>
      <c r="M15" s="905"/>
      <c r="N15" s="906"/>
      <c r="O15" s="255"/>
      <c r="Z15" s="255"/>
      <c r="AA15" s="255"/>
      <c r="AB15" s="250"/>
      <c r="AC15" s="250"/>
      <c r="AD15" s="250"/>
      <c r="AJ15" s="256"/>
    </row>
    <row r="16" spans="2:36" ht="19.5" hidden="1" thickBot="1" x14ac:dyDescent="0.3">
      <c r="B16" s="858"/>
      <c r="C16" s="859"/>
      <c r="D16" s="859"/>
      <c r="E16" s="859"/>
      <c r="F16" s="859"/>
      <c r="G16" s="859"/>
      <c r="H16" s="859"/>
      <c r="I16" s="860"/>
      <c r="J16" s="860"/>
      <c r="K16" s="860"/>
      <c r="L16" s="860"/>
      <c r="M16" s="860"/>
      <c r="N16" s="261"/>
      <c r="O16" s="250"/>
      <c r="Z16" s="250"/>
      <c r="AF16" s="256"/>
    </row>
    <row r="17" spans="2:39" ht="16.5" hidden="1" customHeight="1" thickBot="1" x14ac:dyDescent="0.3">
      <c r="B17" s="265"/>
      <c r="C17" s="258"/>
      <c r="D17" s="258"/>
      <c r="E17" s="901" t="s">
        <v>239</v>
      </c>
      <c r="F17" s="902"/>
      <c r="G17" s="902"/>
      <c r="H17" s="902"/>
      <c r="I17" s="902"/>
      <c r="J17" s="902"/>
      <c r="K17" s="902"/>
      <c r="L17" s="903"/>
      <c r="M17" s="865"/>
      <c r="N17" s="733"/>
      <c r="O17" s="265"/>
      <c r="P17" s="250"/>
      <c r="AJ17" s="259"/>
      <c r="AM17" s="259"/>
    </row>
    <row r="18" spans="2:39" ht="16.5" hidden="1" customHeight="1" thickBot="1" x14ac:dyDescent="0.3">
      <c r="B18" s="699" t="s">
        <v>88</v>
      </c>
      <c r="C18" s="219">
        <v>2</v>
      </c>
      <c r="D18" s="277"/>
      <c r="E18" s="265"/>
      <c r="F18" s="250"/>
      <c r="G18" s="250"/>
      <c r="H18" s="250"/>
      <c r="I18" s="899" t="s">
        <v>219</v>
      </c>
      <c r="J18" s="899"/>
      <c r="K18" s="899"/>
      <c r="L18" s="899"/>
      <c r="M18" s="613"/>
      <c r="N18" s="264"/>
      <c r="O18" s="250"/>
      <c r="Q18" s="294"/>
      <c r="R18" s="682" t="s">
        <v>251</v>
      </c>
      <c r="S18" s="791">
        <f>( (COUNTBLANK(C18:C20)+COUNTBLANK(C22))&gt;0) + ((COUNTBLANK(C21)+COUNTBLANK(C23))&lt;&gt;2)</f>
        <v>0</v>
      </c>
      <c r="Z18" s="262"/>
      <c r="AA18" s="262"/>
    </row>
    <row r="19" spans="2:39" ht="16.5" hidden="1" customHeight="1" thickBot="1" x14ac:dyDescent="0.3">
      <c r="B19" s="290" t="s">
        <v>172</v>
      </c>
      <c r="C19" s="220">
        <v>1.5</v>
      </c>
      <c r="D19" s="277"/>
      <c r="E19" s="263"/>
      <c r="F19" s="246" t="s">
        <v>90</v>
      </c>
      <c r="G19" s="204">
        <f xml:space="preserve"> IF(S18&gt;0,"",IF(C18="","",((C18/C19)*((1-$C$22)+$C$22*$C$20) -1)/($C$20-1) ))</f>
        <v>0.35</v>
      </c>
      <c r="H19" s="250"/>
      <c r="I19" s="246"/>
      <c r="J19" s="272" t="s">
        <v>1</v>
      </c>
      <c r="K19" s="272" t="s">
        <v>2</v>
      </c>
      <c r="L19" s="258"/>
      <c r="M19" s="866"/>
      <c r="N19" s="264"/>
      <c r="O19" s="250"/>
      <c r="P19" s="262"/>
      <c r="S19" s="719">
        <f>(C18&gt;0)+(C19&gt;0)+(C20&gt;0)</f>
        <v>3</v>
      </c>
    </row>
    <row r="20" spans="2:39" ht="16.5" hidden="1" customHeight="1" thickBot="1" x14ac:dyDescent="0.3">
      <c r="B20" s="700" t="s">
        <v>81</v>
      </c>
      <c r="C20" s="221">
        <v>5</v>
      </c>
      <c r="D20" s="277"/>
      <c r="E20" s="263"/>
      <c r="F20" s="246" t="s">
        <v>91</v>
      </c>
      <c r="G20" s="208">
        <f>IF(S18&gt;0,"",IF(G19="","",(G19/(1-G19))/($C$22/(1-$C$22))))</f>
        <v>2.1538461538461537</v>
      </c>
      <c r="H20" s="250"/>
      <c r="I20" s="246" t="s">
        <v>82</v>
      </c>
      <c r="J20" s="580">
        <f>IF(S25&gt;0,"",IF((C26&gt;=0)*(C26&lt;=1),G19*J22,""))</f>
        <v>0.13999999999999999</v>
      </c>
      <c r="K20" s="577">
        <f>IF(S25&gt;0,"",IF((C26&gt;=0)*(C26&lt;=1),C22*K22,""))</f>
        <v>0.12</v>
      </c>
      <c r="L20" s="277">
        <f>IF(S25&gt;0,"",IF((C26&gt;=0)*(C26&lt;=1),J20+K20,""))</f>
        <v>0.26</v>
      </c>
      <c r="M20" s="867"/>
      <c r="N20" s="264"/>
      <c r="O20" s="250"/>
      <c r="P20" s="262"/>
      <c r="Q20" s="262"/>
      <c r="S20" s="719">
        <f>COUNTBLANK(C18:C20)</f>
        <v>0</v>
      </c>
    </row>
    <row r="21" spans="2:39" ht="16.5" hidden="1" customHeight="1" thickBot="1" x14ac:dyDescent="0.3">
      <c r="B21" s="265"/>
      <c r="C21" s="711" t="str">
        <f>IF(S20&gt;0,"",IF(S19=3,"","**Invalid entry**"))</f>
        <v/>
      </c>
      <c r="D21" s="277"/>
      <c r="E21" s="263"/>
      <c r="F21" s="246"/>
      <c r="G21" s="669" t="str">
        <f>IF(G19="","",IF( (G19&gt;=tol_Pr)*(G19&lt;=(1-tol_Pr)),"","** Invalid value **"))</f>
        <v/>
      </c>
      <c r="H21" s="250"/>
      <c r="I21" s="246" t="s">
        <v>83</v>
      </c>
      <c r="J21" s="581">
        <f>IF(S25+S25&gt;0,"",IF((C26&gt;=0)*(C26&lt;=1),J22-J20,""))</f>
        <v>0.26</v>
      </c>
      <c r="K21" s="579">
        <f>IF(S25+S25&gt;0,"",IF((C26&gt;=0)*(C26&lt;=1),K22-K20,""))</f>
        <v>0.48</v>
      </c>
      <c r="L21" s="277">
        <f>IF(S25&gt;0,"",IF((C26&gt;=0)*(C26&lt;=1),J21+K21,""))</f>
        <v>0.74</v>
      </c>
      <c r="M21" s="867"/>
      <c r="N21" s="264"/>
      <c r="O21" s="250"/>
      <c r="Q21" s="262"/>
    </row>
    <row r="22" spans="2:39" ht="16.5" hidden="1" customHeight="1" thickBot="1" x14ac:dyDescent="0.3">
      <c r="B22" s="701" t="s">
        <v>89</v>
      </c>
      <c r="C22" s="213">
        <v>0.2</v>
      </c>
      <c r="D22" s="277"/>
      <c r="E22" s="263"/>
      <c r="F22" s="246"/>
      <c r="G22" s="266"/>
      <c r="H22" s="250"/>
      <c r="I22" s="258"/>
      <c r="J22" s="277">
        <f>IF(C26="","",IF((C26&gt;=0)*(C26&lt;=1),C26,""))</f>
        <v>0.4</v>
      </c>
      <c r="K22" s="277">
        <f>IF(C26="","",IF((C26&gt;=0)*(C26&lt;=1),1-J22,""))</f>
        <v>0.6</v>
      </c>
      <c r="L22" s="277">
        <f>IF(S25&gt;0,"",IF(C26="","",SUM(L20:L21)))</f>
        <v>1</v>
      </c>
      <c r="M22" s="867"/>
      <c r="N22" s="264"/>
    </row>
    <row r="23" spans="2:39" ht="16.5" hidden="1" customHeight="1" thickBot="1" x14ac:dyDescent="0.3">
      <c r="B23" s="263"/>
      <c r="C23" s="711" t="str">
        <f>IF(C22="","",IF(R26=0,"","**Invalid entry**"))</f>
        <v/>
      </c>
      <c r="D23" s="250"/>
      <c r="E23" s="263"/>
      <c r="F23" s="246"/>
      <c r="G23" s="266"/>
      <c r="H23" s="250"/>
      <c r="I23" s="258"/>
      <c r="J23" s="277"/>
      <c r="K23" s="277"/>
      <c r="L23" s="857"/>
      <c r="M23" s="867"/>
      <c r="N23" s="264"/>
    </row>
    <row r="24" spans="2:39" ht="16.5" hidden="1" customHeight="1" thickBot="1" x14ac:dyDescent="0.3">
      <c r="B24" s="292"/>
      <c r="C24" s="277"/>
      <c r="D24" s="250"/>
      <c r="E24" s="263"/>
      <c r="F24" s="246"/>
      <c r="G24" s="266"/>
      <c r="H24" s="250"/>
      <c r="I24" s="250"/>
      <c r="J24" s="250"/>
      <c r="K24" s="293" t="str">
        <f>IF(S18&gt;0,"",IF(C26="","",IF(R27&gt;0,"","Corr(X,C)=")))</f>
        <v>Corr(X,C)=</v>
      </c>
      <c r="L24" s="863">
        <f>IF(S18&gt;0,"",IF(C26="","",IF(R27&gt;0,"",IF((J20*J21*K20*K21&gt;0),(J20-L20*J22)/SQRT(L20*L21*J22*K22),"NA"))))</f>
        <v>0.16753067798623636</v>
      </c>
      <c r="M24" s="868"/>
      <c r="N24" s="264"/>
    </row>
    <row r="25" spans="2:39" ht="16.5" hidden="1" customHeight="1" thickBot="1" x14ac:dyDescent="0.3">
      <c r="B25" s="292"/>
      <c r="C25" s="250"/>
      <c r="D25" s="272"/>
      <c r="E25" s="267"/>
      <c r="F25" s="268"/>
      <c r="G25" s="269"/>
      <c r="H25" s="278"/>
      <c r="I25" s="278"/>
      <c r="J25" s="278"/>
      <c r="K25" s="278"/>
      <c r="L25" s="864" t="str">
        <f>IF(L24="","",IF( (L24&gt;=-1)*(L24&lt;=1),"","** Invalid value **"))</f>
        <v/>
      </c>
      <c r="M25" s="869"/>
      <c r="N25" s="264"/>
      <c r="R25" s="682" t="s">
        <v>251</v>
      </c>
      <c r="S25" s="708">
        <f>IF(C26="",1,S18)</f>
        <v>0</v>
      </c>
    </row>
    <row r="26" spans="2:39" ht="16.5" hidden="1" customHeight="1" thickBot="1" x14ac:dyDescent="0.3">
      <c r="B26" s="702" t="s">
        <v>220</v>
      </c>
      <c r="C26" s="213">
        <v>0.4</v>
      </c>
      <c r="D26" s="333" t="s">
        <v>221</v>
      </c>
      <c r="E26" s="901" t="s">
        <v>240</v>
      </c>
      <c r="F26" s="902"/>
      <c r="G26" s="902"/>
      <c r="H26" s="902"/>
      <c r="I26" s="902"/>
      <c r="J26" s="902"/>
      <c r="K26" s="902"/>
      <c r="L26" s="903"/>
      <c r="M26" s="613"/>
      <c r="N26" s="291"/>
      <c r="R26" s="719">
        <f>IF((C22&gt;0)*(C22&lt;1)=1,0,1)</f>
        <v>0</v>
      </c>
      <c r="S26" s="249" t="s">
        <v>261</v>
      </c>
    </row>
    <row r="27" spans="2:39" ht="16.5" hidden="1" customHeight="1" thickBot="1" x14ac:dyDescent="0.3">
      <c r="B27" s="265"/>
      <c r="C27" s="720" t="str">
        <f>IF(C26="","",IF(R27=0,"","**Invalid entry**"))</f>
        <v/>
      </c>
      <c r="D27" s="250"/>
      <c r="E27" s="265"/>
      <c r="F27" s="250"/>
      <c r="G27" s="250"/>
      <c r="H27" s="250"/>
      <c r="I27" s="899" t="s">
        <v>219</v>
      </c>
      <c r="J27" s="899"/>
      <c r="K27" s="899"/>
      <c r="L27" s="900"/>
      <c r="M27" s="870"/>
      <c r="N27" s="264"/>
      <c r="R27" s="719">
        <f>IF((C26&gt;=0)*(C26&lt;=1)=1,0,1)</f>
        <v>0</v>
      </c>
      <c r="S27" s="249" t="s">
        <v>263</v>
      </c>
    </row>
    <row r="28" spans="2:39" ht="16.5" hidden="1" customHeight="1" thickBot="1" x14ac:dyDescent="0.3">
      <c r="B28" s="265"/>
      <c r="C28" s="250"/>
      <c r="D28" s="250"/>
      <c r="E28" s="265"/>
      <c r="F28" s="246" t="s">
        <v>90</v>
      </c>
      <c r="G28" s="204">
        <f>IF(S18&gt;0,"",IF(C18="","",(C22*C18*(C20-1) + C18-C19)/(C20-1)))</f>
        <v>0.52500000000000002</v>
      </c>
      <c r="H28" s="677"/>
      <c r="I28" s="258"/>
      <c r="J28" s="272" t="s">
        <v>1</v>
      </c>
      <c r="K28" s="272" t="s">
        <v>2</v>
      </c>
      <c r="L28" s="258"/>
      <c r="M28" s="866"/>
      <c r="N28" s="264"/>
    </row>
    <row r="29" spans="2:39" ht="16.5" hidden="1" customHeight="1" thickBot="1" x14ac:dyDescent="0.3">
      <c r="B29" s="265" t="s">
        <v>256</v>
      </c>
      <c r="C29" s="250"/>
      <c r="D29" s="250"/>
      <c r="E29" s="265"/>
      <c r="F29" s="246" t="s">
        <v>91</v>
      </c>
      <c r="G29" s="208">
        <f>IF(S18&gt;0,"",IF(C22="","",(G28/(1-G28))/($C$22/(1-$C$22))))</f>
        <v>4.4210526315789478</v>
      </c>
      <c r="H29" s="257"/>
      <c r="I29" s="246" t="s">
        <v>82</v>
      </c>
      <c r="J29" s="580">
        <f>IF(S25&gt;0,"",IF((C26&gt;=0)*(C26&lt;=1),G28*C26,""))</f>
        <v>0.21000000000000002</v>
      </c>
      <c r="K29" s="577">
        <f>IF(S25&gt;0,"",IF((C26&gt;=0)*(C26&lt;=1),C22*K31,""))</f>
        <v>0.12</v>
      </c>
      <c r="L29" s="277">
        <f>IF(S25&gt;0,"",IF((C26&gt;=0)*(C26&lt;=1),J29+K29,""))</f>
        <v>0.33</v>
      </c>
      <c r="M29" s="867"/>
      <c r="N29" s="264"/>
    </row>
    <row r="30" spans="2:39" ht="16.5" hidden="1" customHeight="1" thickBot="1" x14ac:dyDescent="0.3">
      <c r="B30" s="265"/>
      <c r="C30" s="250"/>
      <c r="D30" s="250"/>
      <c r="E30" s="265"/>
      <c r="F30" s="246"/>
      <c r="G30" s="669" t="str">
        <f>IF(G28="","",IF( (G28&gt;=tol_Pr)*(G28&lt;=(1-tol_Pr)),"","** Invalid value **"))</f>
        <v/>
      </c>
      <c r="H30" s="257"/>
      <c r="I30" s="246" t="s">
        <v>83</v>
      </c>
      <c r="J30" s="581">
        <f>IF(S25&gt;0,"",IF((C26&gt;=0)*(C26&lt;=1),J31-J29,""))</f>
        <v>0.19</v>
      </c>
      <c r="K30" s="579">
        <f>IF(S25&gt;0,"",IF((C26&gt;=0)*(C26&lt;=1),K31-K29,""))</f>
        <v>0.48</v>
      </c>
      <c r="L30" s="277">
        <f>IF(S25&gt;0,"",IF((C26&gt;=0)*(C26&lt;=1),J30+K30,""))</f>
        <v>0.66999999999999993</v>
      </c>
      <c r="M30" s="867"/>
      <c r="N30" s="264"/>
    </row>
    <row r="31" spans="2:39" ht="18.75" hidden="1" x14ac:dyDescent="0.25">
      <c r="B31" s="265"/>
      <c r="C31" s="250"/>
      <c r="D31" s="250"/>
      <c r="E31" s="265"/>
      <c r="F31" s="246"/>
      <c r="G31" s="266"/>
      <c r="H31" s="257"/>
      <c r="I31" s="258"/>
      <c r="J31" s="277">
        <f>IF(C26="","",IF((C26&gt;=0)*(C26&lt;=1),C26,""))</f>
        <v>0.4</v>
      </c>
      <c r="K31" s="277">
        <f>IF(C26="","",IF((C26&gt;=0)*(C26&lt;=1),1-J31,""))</f>
        <v>0.6</v>
      </c>
      <c r="L31" s="277">
        <f>IF(S25&gt;0,"",IF(C26="","",SUM(J29:K30)))</f>
        <v>1</v>
      </c>
      <c r="M31" s="867"/>
      <c r="N31" s="264"/>
    </row>
    <row r="32" spans="2:39" ht="19.5" hidden="1" thickBot="1" x14ac:dyDescent="0.3">
      <c r="B32" s="265"/>
      <c r="C32" s="250"/>
      <c r="D32" s="250"/>
      <c r="E32" s="265"/>
      <c r="F32" s="246"/>
      <c r="G32" s="266"/>
      <c r="H32" s="257"/>
      <c r="I32" s="258"/>
      <c r="J32" s="277"/>
      <c r="K32" s="277"/>
      <c r="L32" s="857"/>
      <c r="M32" s="867"/>
      <c r="N32" s="264"/>
      <c r="S32" s="250"/>
    </row>
    <row r="33" spans="2:28" ht="14.25" hidden="1" customHeight="1" thickBot="1" x14ac:dyDescent="0.3">
      <c r="B33" s="265"/>
      <c r="C33" s="250"/>
      <c r="D33" s="250"/>
      <c r="E33" s="265"/>
      <c r="F33" s="250"/>
      <c r="G33" s="250"/>
      <c r="H33" s="250"/>
      <c r="I33" s="250"/>
      <c r="J33" s="264"/>
      <c r="K33" s="293" t="str">
        <f>IF(S18&gt;0,"",IF(C26="","",IF(R27&gt;0,"","Corr(X,C)=")))</f>
        <v>Corr(X,C)=</v>
      </c>
      <c r="L33" s="231">
        <f>IF(S18&gt;0,"",IF(C26="","",IF(R27&gt;0,"",IF((J29*J30*K29*K30&gt;0),(J29-L29*J31)/SQRT(L29*L30*J31*K31),"NA"))))</f>
        <v>0.33860596969590517</v>
      </c>
      <c r="M33" s="868"/>
      <c r="N33" s="264"/>
      <c r="S33" s="250"/>
    </row>
    <row r="34" spans="2:28" ht="15.75" thickBot="1" x14ac:dyDescent="0.3">
      <c r="B34" s="265"/>
      <c r="C34" s="250"/>
      <c r="D34" s="250"/>
      <c r="E34" s="271"/>
      <c r="F34" s="278"/>
      <c r="G34" s="278"/>
      <c r="H34" s="278"/>
      <c r="I34" s="278"/>
      <c r="J34" s="278"/>
      <c r="K34" s="278"/>
      <c r="L34" s="861" t="str">
        <f>IF(L33="","",IF( (L33&gt;=-1)*(L33&lt;=1)=1,"","** Invalid value **"))</f>
        <v/>
      </c>
      <c r="M34" s="862"/>
      <c r="N34" s="264"/>
      <c r="S34" s="250"/>
    </row>
    <row r="35" spans="2:28" ht="13.5" customHeight="1" x14ac:dyDescent="0.25">
      <c r="B35" s="265"/>
      <c r="C35" s="250"/>
      <c r="D35" s="250"/>
      <c r="E35" s="250"/>
      <c r="F35" s="250"/>
      <c r="G35" s="250"/>
      <c r="H35" s="250"/>
      <c r="I35" s="250"/>
      <c r="J35" s="250"/>
      <c r="K35" s="250"/>
      <c r="L35" s="862"/>
      <c r="M35" s="862"/>
      <c r="N35" s="264"/>
      <c r="S35" s="250"/>
    </row>
    <row r="36" spans="2:28" ht="18.75" x14ac:dyDescent="0.25">
      <c r="B36" s="674"/>
      <c r="C36" s="250"/>
      <c r="D36" s="250"/>
      <c r="E36" s="250"/>
      <c r="F36" s="250"/>
      <c r="G36" s="250"/>
      <c r="H36" s="250"/>
      <c r="I36" s="250"/>
      <c r="J36" s="250"/>
      <c r="K36" s="250"/>
      <c r="L36" s="250"/>
      <c r="M36" s="250"/>
      <c r="N36" s="264"/>
    </row>
    <row r="37" spans="2:28" x14ac:dyDescent="0.25">
      <c r="B37" s="265"/>
      <c r="C37" s="250"/>
      <c r="D37" s="250"/>
      <c r="E37" s="250"/>
      <c r="F37" s="250"/>
      <c r="G37" s="250"/>
      <c r="H37" s="250"/>
      <c r="I37" s="250"/>
      <c r="J37" s="250"/>
      <c r="K37" s="250"/>
      <c r="L37" s="250"/>
      <c r="M37" s="250"/>
      <c r="N37" s="264"/>
    </row>
    <row r="38" spans="2:28" x14ac:dyDescent="0.25">
      <c r="B38" s="265"/>
      <c r="C38" s="250"/>
      <c r="D38" s="250"/>
      <c r="E38" s="250"/>
      <c r="F38" s="250"/>
      <c r="G38" s="250"/>
      <c r="H38" s="250"/>
      <c r="I38" s="250"/>
      <c r="J38" s="250"/>
      <c r="K38" s="250"/>
      <c r="L38" s="250"/>
      <c r="M38" s="250"/>
      <c r="N38" s="264"/>
      <c r="O38" s="250"/>
      <c r="AB38" s="250"/>
    </row>
    <row r="39" spans="2:28" ht="15.75" thickBot="1" x14ac:dyDescent="0.3">
      <c r="B39" s="271"/>
      <c r="C39" s="278"/>
      <c r="D39" s="278"/>
      <c r="E39" s="278"/>
      <c r="F39" s="278"/>
      <c r="G39" s="278"/>
      <c r="H39" s="278"/>
      <c r="I39" s="278"/>
      <c r="J39" s="278"/>
      <c r="K39" s="278"/>
      <c r="L39" s="278"/>
      <c r="M39" s="278"/>
      <c r="N39" s="270"/>
      <c r="U39" s="250"/>
    </row>
    <row r="40" spans="2:28" x14ac:dyDescent="0.25">
      <c r="J40" s="250"/>
      <c r="K40" s="250"/>
      <c r="L40" s="250"/>
    </row>
    <row r="41" spans="2:28" x14ac:dyDescent="0.25">
      <c r="J41" s="250"/>
      <c r="K41" s="250"/>
      <c r="L41" s="250"/>
      <c r="M41" s="250"/>
      <c r="N41" s="250"/>
    </row>
    <row r="42" spans="2:28" x14ac:dyDescent="0.25">
      <c r="E42" s="250"/>
      <c r="F42" s="250"/>
      <c r="G42" s="250"/>
      <c r="H42" s="250"/>
      <c r="I42" s="250"/>
      <c r="J42" s="250"/>
      <c r="K42" s="250"/>
      <c r="L42" s="250"/>
      <c r="M42" s="250"/>
      <c r="N42" s="250"/>
    </row>
    <row r="43" spans="2:28" x14ac:dyDescent="0.25">
      <c r="C43" s="250"/>
      <c r="D43" s="250"/>
      <c r="E43" s="250"/>
      <c r="F43" s="250"/>
      <c r="G43" s="250"/>
      <c r="H43" s="250"/>
      <c r="I43" s="250"/>
      <c r="J43" s="250"/>
      <c r="K43" s="250"/>
      <c r="L43" s="250"/>
      <c r="M43" s="250"/>
      <c r="N43" s="250"/>
      <c r="O43" s="250"/>
      <c r="P43" s="250"/>
      <c r="Q43" s="250"/>
      <c r="R43" s="250"/>
      <c r="S43" s="250"/>
      <c r="T43" s="250"/>
      <c r="U43" s="250"/>
      <c r="V43" s="250"/>
    </row>
    <row r="44" spans="2:28" x14ac:dyDescent="0.25">
      <c r="C44" s="250"/>
      <c r="D44" s="250"/>
      <c r="E44" s="250"/>
      <c r="F44" s="250"/>
      <c r="G44" s="250"/>
      <c r="H44" s="250"/>
      <c r="I44" s="250"/>
      <c r="J44" s="250"/>
      <c r="K44" s="250"/>
      <c r="L44" s="250"/>
      <c r="M44" s="250"/>
      <c r="N44" s="250"/>
      <c r="O44" s="250"/>
      <c r="P44" s="250"/>
      <c r="Q44" s="250"/>
      <c r="R44" s="250"/>
      <c r="S44" s="250"/>
      <c r="T44" s="250"/>
      <c r="U44" s="250"/>
      <c r="V44" s="250"/>
    </row>
    <row r="45" spans="2:28" x14ac:dyDescent="0.25">
      <c r="C45" s="250"/>
      <c r="D45" s="250"/>
      <c r="E45" s="250"/>
      <c r="F45" s="250"/>
      <c r="G45" s="250"/>
      <c r="H45" s="250"/>
      <c r="I45" s="250"/>
      <c r="J45" s="250"/>
      <c r="K45" s="250"/>
      <c r="L45" s="250"/>
      <c r="M45" s="250"/>
      <c r="N45" s="250"/>
      <c r="O45" s="250"/>
      <c r="P45" s="250"/>
      <c r="Q45" s="250"/>
      <c r="R45" s="250"/>
      <c r="S45" s="250"/>
      <c r="T45" s="250"/>
      <c r="U45" s="250"/>
      <c r="V45" s="250"/>
    </row>
    <row r="46" spans="2:28" x14ac:dyDescent="0.25">
      <c r="C46" s="250"/>
      <c r="D46" s="250"/>
      <c r="E46" s="250"/>
      <c r="F46" s="250"/>
      <c r="G46" s="250"/>
      <c r="H46" s="250"/>
      <c r="I46" s="250"/>
      <c r="J46" s="250"/>
      <c r="K46" s="250"/>
      <c r="L46" s="250"/>
      <c r="M46" s="250"/>
      <c r="N46" s="250"/>
      <c r="O46" s="250"/>
      <c r="P46" s="250"/>
      <c r="Q46" s="250"/>
      <c r="R46" s="250"/>
      <c r="S46" s="250"/>
      <c r="T46" s="250"/>
      <c r="U46" s="250"/>
      <c r="V46" s="250"/>
    </row>
    <row r="47" spans="2:28" ht="18.75" x14ac:dyDescent="0.25">
      <c r="C47" s="250"/>
      <c r="D47" s="250"/>
      <c r="E47" s="250"/>
      <c r="F47" s="250"/>
      <c r="G47" s="250"/>
      <c r="H47" s="250"/>
      <c r="I47" s="250"/>
      <c r="J47" s="250"/>
      <c r="K47" s="250"/>
      <c r="L47" s="250"/>
      <c r="M47" s="250"/>
      <c r="N47" s="250"/>
      <c r="O47" s="250"/>
      <c r="P47" s="246"/>
      <c r="Q47" s="266"/>
      <c r="R47" s="257"/>
      <c r="S47" s="250"/>
      <c r="T47" s="250"/>
      <c r="U47" s="250"/>
      <c r="V47" s="250"/>
    </row>
    <row r="48" spans="2:28" ht="18.75" x14ac:dyDescent="0.25">
      <c r="C48" s="250"/>
      <c r="D48" s="250"/>
      <c r="E48" s="250"/>
      <c r="F48" s="250"/>
      <c r="G48" s="250"/>
      <c r="H48" s="250"/>
      <c r="I48" s="250"/>
      <c r="J48" s="250"/>
      <c r="K48" s="250"/>
      <c r="L48" s="250"/>
      <c r="M48" s="250"/>
      <c r="N48" s="250"/>
      <c r="O48" s="250"/>
      <c r="P48" s="246"/>
      <c r="Q48" s="266"/>
      <c r="R48" s="257"/>
      <c r="S48" s="250"/>
      <c r="T48" s="250"/>
      <c r="U48" s="250"/>
      <c r="V48" s="250"/>
    </row>
    <row r="49" spans="3:22" ht="18.75" x14ac:dyDescent="0.25">
      <c r="C49" s="250"/>
      <c r="D49" s="250"/>
      <c r="E49" s="250"/>
      <c r="F49" s="250"/>
      <c r="G49" s="250"/>
      <c r="H49" s="250"/>
      <c r="I49" s="250"/>
      <c r="J49" s="250"/>
      <c r="K49" s="250"/>
      <c r="L49" s="250"/>
      <c r="M49" s="250"/>
      <c r="N49" s="250"/>
      <c r="O49" s="250"/>
      <c r="P49" s="246"/>
      <c r="Q49" s="266"/>
      <c r="R49" s="257"/>
      <c r="S49" s="250"/>
      <c r="T49" s="250"/>
      <c r="U49" s="250"/>
      <c r="V49" s="250"/>
    </row>
    <row r="50" spans="3:22" ht="18.75" x14ac:dyDescent="0.25">
      <c r="C50" s="250"/>
      <c r="D50" s="250"/>
      <c r="E50" s="250"/>
      <c r="F50" s="250"/>
      <c r="G50" s="250"/>
      <c r="H50" s="250"/>
      <c r="I50" s="250"/>
      <c r="J50" s="250"/>
      <c r="K50" s="250"/>
      <c r="L50" s="250"/>
      <c r="M50" s="250"/>
      <c r="N50" s="250"/>
      <c r="O50" s="250"/>
      <c r="P50" s="246"/>
      <c r="Q50" s="266"/>
      <c r="R50" s="257"/>
      <c r="S50" s="250"/>
      <c r="T50" s="250"/>
      <c r="U50" s="250"/>
      <c r="V50" s="250"/>
    </row>
    <row r="51" spans="3:22" ht="18.75" x14ac:dyDescent="0.25">
      <c r="C51" s="250"/>
      <c r="D51" s="250"/>
      <c r="E51" s="250"/>
      <c r="F51" s="250"/>
      <c r="G51" s="250"/>
      <c r="H51" s="250"/>
      <c r="I51" s="250"/>
      <c r="J51" s="250"/>
      <c r="K51" s="250"/>
      <c r="L51" s="250"/>
      <c r="M51" s="250"/>
      <c r="N51" s="250"/>
      <c r="O51" s="250"/>
      <c r="P51" s="246"/>
      <c r="Q51" s="266"/>
      <c r="R51" s="257"/>
      <c r="S51" s="250"/>
      <c r="T51" s="250"/>
      <c r="U51" s="250"/>
      <c r="V51" s="250"/>
    </row>
    <row r="52" spans="3:22" ht="18.75" x14ac:dyDescent="0.25">
      <c r="C52" s="250"/>
      <c r="D52" s="250"/>
      <c r="E52" s="250"/>
      <c r="F52" s="250"/>
      <c r="G52" s="250"/>
      <c r="H52" s="250"/>
      <c r="I52" s="250"/>
      <c r="J52" s="250"/>
      <c r="K52" s="250"/>
      <c r="L52" s="250"/>
      <c r="M52" s="250"/>
      <c r="N52" s="250"/>
      <c r="O52" s="250"/>
      <c r="P52" s="246"/>
      <c r="Q52" s="266"/>
      <c r="R52" s="257"/>
      <c r="S52" s="250"/>
      <c r="T52" s="250"/>
      <c r="U52" s="250"/>
      <c r="V52" s="250"/>
    </row>
    <row r="53" spans="3:22" ht="18.75" x14ac:dyDescent="0.25">
      <c r="C53" s="250"/>
      <c r="D53" s="250"/>
      <c r="E53" s="250"/>
      <c r="F53" s="250"/>
      <c r="G53" s="250"/>
      <c r="H53" s="250"/>
      <c r="I53" s="250"/>
      <c r="J53" s="250"/>
      <c r="K53" s="250"/>
      <c r="L53" s="250"/>
      <c r="M53" s="250"/>
      <c r="N53" s="250"/>
      <c r="O53" s="250"/>
      <c r="P53" s="246"/>
      <c r="Q53" s="266"/>
      <c r="R53" s="257"/>
      <c r="S53" s="250"/>
      <c r="T53" s="250"/>
      <c r="U53" s="250"/>
      <c r="V53" s="250"/>
    </row>
    <row r="54" spans="3:22" ht="18.75" x14ac:dyDescent="0.25">
      <c r="C54" s="250"/>
      <c r="D54" s="250"/>
      <c r="E54" s="250"/>
      <c r="F54" s="250"/>
      <c r="G54" s="250"/>
      <c r="H54" s="250"/>
      <c r="I54" s="250"/>
      <c r="J54" s="250"/>
      <c r="K54" s="250"/>
      <c r="L54" s="250"/>
      <c r="M54" s="250"/>
      <c r="N54" s="250"/>
      <c r="O54" s="250"/>
      <c r="P54" s="246"/>
      <c r="Q54" s="266"/>
      <c r="R54" s="257"/>
      <c r="S54" s="250"/>
      <c r="T54" s="250"/>
      <c r="U54" s="250"/>
      <c r="V54" s="250"/>
    </row>
    <row r="55" spans="3:22" ht="18.75" x14ac:dyDescent="0.25">
      <c r="C55" s="250"/>
      <c r="D55" s="250"/>
      <c r="E55" s="250"/>
      <c r="F55" s="250"/>
      <c r="G55" s="250"/>
      <c r="H55" s="250"/>
      <c r="I55" s="250"/>
      <c r="J55" s="250"/>
      <c r="K55" s="250"/>
      <c r="L55" s="250"/>
      <c r="M55" s="250"/>
      <c r="N55" s="250"/>
      <c r="O55" s="250"/>
      <c r="P55" s="246"/>
      <c r="Q55" s="266"/>
      <c r="R55" s="257"/>
      <c r="S55" s="250"/>
      <c r="T55" s="250"/>
      <c r="U55" s="250"/>
      <c r="V55" s="250"/>
    </row>
    <row r="56" spans="3:22" x14ac:dyDescent="0.25">
      <c r="C56" s="250"/>
      <c r="D56" s="250"/>
      <c r="E56" s="250"/>
      <c r="F56" s="250"/>
      <c r="G56" s="250"/>
      <c r="H56" s="250"/>
      <c r="I56" s="250"/>
      <c r="J56" s="250"/>
      <c r="K56" s="250"/>
      <c r="L56" s="250"/>
      <c r="M56" s="250"/>
      <c r="N56" s="250"/>
      <c r="O56" s="250"/>
      <c r="P56" s="250"/>
      <c r="Q56" s="250"/>
      <c r="R56" s="250"/>
      <c r="S56" s="250"/>
      <c r="T56" s="250"/>
      <c r="U56" s="250"/>
      <c r="V56" s="250"/>
    </row>
    <row r="57" spans="3:22" x14ac:dyDescent="0.25">
      <c r="C57" s="250"/>
      <c r="D57" s="250"/>
      <c r="E57" s="250"/>
      <c r="F57" s="250"/>
      <c r="G57" s="250"/>
      <c r="H57" s="250"/>
      <c r="I57" s="250"/>
      <c r="J57" s="250"/>
      <c r="K57" s="250"/>
      <c r="L57" s="250"/>
      <c r="M57" s="250"/>
      <c r="N57" s="250"/>
      <c r="O57" s="250"/>
      <c r="P57" s="250"/>
      <c r="Q57" s="250"/>
      <c r="R57" s="250"/>
      <c r="S57" s="250"/>
      <c r="T57" s="250"/>
      <c r="U57" s="250"/>
      <c r="V57" s="250"/>
    </row>
    <row r="58" spans="3:22" x14ac:dyDescent="0.25">
      <c r="C58" s="250"/>
      <c r="D58" s="250"/>
      <c r="E58" s="250"/>
      <c r="F58" s="250"/>
      <c r="G58" s="250"/>
      <c r="H58" s="250"/>
      <c r="I58" s="250"/>
      <c r="J58" s="250"/>
      <c r="K58" s="250"/>
      <c r="L58" s="250"/>
      <c r="M58" s="250"/>
      <c r="N58" s="250"/>
      <c r="O58" s="250"/>
      <c r="P58" s="250"/>
      <c r="Q58" s="250"/>
      <c r="R58" s="250"/>
      <c r="S58" s="250"/>
      <c r="T58" s="250"/>
      <c r="U58" s="250"/>
      <c r="V58" s="250"/>
    </row>
    <row r="59" spans="3:22" x14ac:dyDescent="0.25">
      <c r="C59" s="250"/>
      <c r="D59" s="250"/>
      <c r="E59" s="250"/>
      <c r="F59" s="250"/>
      <c r="G59" s="250"/>
      <c r="H59" s="250"/>
      <c r="I59" s="250"/>
      <c r="J59" s="250"/>
      <c r="K59" s="250"/>
      <c r="L59" s="250"/>
      <c r="M59" s="250"/>
      <c r="N59" s="250"/>
      <c r="O59" s="250"/>
      <c r="P59" s="250"/>
      <c r="Q59" s="250"/>
      <c r="R59" s="250"/>
      <c r="S59" s="250"/>
      <c r="T59" s="250"/>
      <c r="U59" s="250"/>
      <c r="V59" s="250"/>
    </row>
    <row r="60" spans="3:22" x14ac:dyDescent="0.25">
      <c r="C60" s="250"/>
      <c r="D60" s="250"/>
      <c r="E60" s="250"/>
      <c r="F60" s="250"/>
      <c r="G60" s="250"/>
      <c r="H60" s="250"/>
      <c r="I60" s="250"/>
      <c r="J60" s="250"/>
      <c r="K60" s="250"/>
      <c r="L60" s="250"/>
      <c r="M60" s="250"/>
      <c r="N60" s="250"/>
      <c r="O60" s="250"/>
      <c r="P60" s="250"/>
      <c r="Q60" s="250"/>
      <c r="R60" s="250"/>
      <c r="S60" s="250"/>
      <c r="T60" s="250"/>
      <c r="U60" s="250"/>
      <c r="V60" s="250"/>
    </row>
    <row r="61" spans="3:22" x14ac:dyDescent="0.25">
      <c r="C61" s="250"/>
      <c r="D61" s="250"/>
      <c r="E61" s="250"/>
      <c r="F61" s="250"/>
      <c r="G61" s="250"/>
      <c r="H61" s="250"/>
      <c r="I61" s="250"/>
      <c r="J61" s="250"/>
      <c r="K61" s="250"/>
      <c r="L61" s="250"/>
      <c r="M61" s="250"/>
      <c r="N61" s="250"/>
      <c r="O61" s="250"/>
      <c r="P61" s="250"/>
      <c r="Q61" s="250"/>
      <c r="R61" s="250"/>
      <c r="S61" s="250"/>
      <c r="T61" s="250"/>
      <c r="U61" s="250"/>
      <c r="V61" s="250"/>
    </row>
    <row r="62" spans="3:22" x14ac:dyDescent="0.25">
      <c r="C62" s="250"/>
      <c r="D62" s="250"/>
      <c r="E62" s="250"/>
      <c r="F62" s="250"/>
      <c r="G62" s="250"/>
      <c r="H62" s="250"/>
      <c r="I62" s="250"/>
      <c r="J62" s="250"/>
      <c r="K62" s="250"/>
      <c r="L62" s="250"/>
      <c r="M62" s="250"/>
      <c r="N62" s="250"/>
      <c r="O62" s="250"/>
      <c r="P62" s="250"/>
      <c r="Q62" s="250"/>
      <c r="R62" s="250"/>
      <c r="S62" s="250"/>
      <c r="T62" s="250"/>
      <c r="U62" s="250"/>
      <c r="V62" s="250"/>
    </row>
    <row r="63" spans="3:22" x14ac:dyDescent="0.25">
      <c r="C63" s="250"/>
      <c r="D63" s="250"/>
      <c r="O63" s="250"/>
      <c r="P63" s="250"/>
      <c r="Q63" s="250"/>
      <c r="R63" s="250"/>
      <c r="S63" s="250"/>
      <c r="T63" s="250"/>
      <c r="U63" s="250"/>
      <c r="V63" s="250"/>
    </row>
  </sheetData>
  <sheetProtection password="B8FF" sheet="1" objects="1" scenarios="1" formatCells="0" formatColumns="0" formatRows="0" insertColumns="0" insertRows="0" insertHyperlinks="0" deleteColumns="0" deleteRows="0"/>
  <mergeCells count="9">
    <mergeCell ref="I27:L27"/>
    <mergeCell ref="E26:L26"/>
    <mergeCell ref="G9:I9"/>
    <mergeCell ref="G4:I4"/>
    <mergeCell ref="B2:N2"/>
    <mergeCell ref="B15:N15"/>
    <mergeCell ref="K4:L4"/>
    <mergeCell ref="I18:L18"/>
    <mergeCell ref="E17:L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E129"/>
  <sheetViews>
    <sheetView showGridLines="0" zoomScaleNormal="100" zoomScaleSheetLayoutView="80" workbookViewId="0">
      <selection activeCell="O3" sqref="O3"/>
    </sheetView>
  </sheetViews>
  <sheetFormatPr defaultRowHeight="15" x14ac:dyDescent="0.25"/>
  <cols>
    <col min="1" max="1" width="1.42578125" style="249" customWidth="1"/>
    <col min="2" max="2" width="9.5703125" style="249" customWidth="1"/>
    <col min="3" max="3" width="12" style="249" customWidth="1"/>
    <col min="4" max="4" width="13.140625" style="249" customWidth="1"/>
    <col min="5" max="9" width="11.7109375" style="249" customWidth="1"/>
    <col min="10" max="10" width="13.42578125" style="249" customWidth="1"/>
    <col min="11" max="14" width="11.7109375" style="249" customWidth="1"/>
    <col min="15" max="15" width="12.85546875" style="249" customWidth="1"/>
    <col min="16" max="16" width="15.85546875" style="249" customWidth="1"/>
    <col min="17" max="17" width="11.5703125" style="249" customWidth="1"/>
    <col min="18" max="19" width="11.140625" style="249" customWidth="1"/>
    <col min="20" max="20" width="12.28515625" style="249" customWidth="1"/>
    <col min="21" max="26" width="11.140625" style="249" customWidth="1"/>
    <col min="27" max="29" width="9.140625" style="249" customWidth="1"/>
    <col min="30" max="36" width="9.140625" style="249" hidden="1" customWidth="1"/>
    <col min="37" max="37" width="8.28515625" style="249" hidden="1" customWidth="1"/>
    <col min="38" max="49" width="9.140625" style="249" hidden="1" customWidth="1"/>
    <col min="50" max="50" width="7.85546875" style="249" hidden="1" customWidth="1"/>
    <col min="51" max="57" width="9.140625" style="249" hidden="1" customWidth="1"/>
    <col min="58" max="58" width="9.140625" style="249" customWidth="1"/>
    <col min="59" max="16384" width="9.140625" style="249"/>
  </cols>
  <sheetData>
    <row r="1" spans="1:56" ht="7.5" customHeight="1" thickBot="1" x14ac:dyDescent="0.3"/>
    <row r="2" spans="1:56" ht="21.75" thickBot="1" x14ac:dyDescent="0.3">
      <c r="A2" s="707"/>
      <c r="B2" s="905" t="s">
        <v>323</v>
      </c>
      <c r="C2" s="905"/>
      <c r="D2" s="905"/>
      <c r="E2" s="905"/>
      <c r="F2" s="905"/>
      <c r="G2" s="905"/>
      <c r="H2" s="905"/>
      <c r="I2" s="905"/>
      <c r="J2" s="905"/>
      <c r="K2" s="905"/>
      <c r="L2" s="905"/>
      <c r="M2" s="905"/>
      <c r="N2" s="905"/>
      <c r="O2" s="906"/>
      <c r="P2" s="705"/>
      <c r="Q2" s="706"/>
      <c r="R2" s="706"/>
      <c r="S2" s="706"/>
      <c r="T2" s="706"/>
      <c r="U2" s="706"/>
      <c r="V2" s="706"/>
      <c r="W2" s="706"/>
      <c r="X2" s="706"/>
      <c r="Y2" s="706"/>
      <c r="Z2" s="706"/>
      <c r="AA2" s="706"/>
      <c r="AB2" s="706"/>
    </row>
    <row r="3" spans="1:56" ht="21.75" thickBot="1" x14ac:dyDescent="0.3">
      <c r="B3" s="332"/>
      <c r="C3" s="534"/>
      <c r="D3" s="534"/>
      <c r="E3" s="591" t="str">
        <f>IF(AD6&gt;=AD7,"","**Warning: Too few RR_C values**")</f>
        <v/>
      </c>
      <c r="F3" s="534"/>
      <c r="G3" s="534"/>
      <c r="H3" s="534"/>
      <c r="I3" s="534"/>
      <c r="J3" s="534"/>
      <c r="K3" s="534"/>
      <c r="L3" s="534"/>
      <c r="M3" s="534"/>
      <c r="N3" s="534"/>
      <c r="O3" s="534"/>
      <c r="P3" s="283"/>
      <c r="Q3" s="333"/>
      <c r="R3" s="250"/>
      <c r="S3" s="250"/>
      <c r="T3" s="250"/>
      <c r="U3" s="250"/>
      <c r="V3" s="250"/>
      <c r="W3" s="250"/>
      <c r="X3" s="250"/>
      <c r="Y3" s="250"/>
      <c r="Z3" s="250"/>
      <c r="AA3" s="250"/>
      <c r="AB3" s="264"/>
      <c r="AD3" s="315">
        <f>10-COUNTIF(E5:N5,"")</f>
        <v>4</v>
      </c>
    </row>
    <row r="4" spans="1:56" ht="15" customHeight="1" thickBot="1" x14ac:dyDescent="0.3">
      <c r="B4" s="332"/>
      <c r="C4" s="534"/>
      <c r="D4" s="283" t="s">
        <v>203</v>
      </c>
      <c r="E4" s="535">
        <v>0</v>
      </c>
      <c r="F4" s="331">
        <v>1</v>
      </c>
      <c r="G4" s="331">
        <v>2</v>
      </c>
      <c r="H4" s="331">
        <v>3</v>
      </c>
      <c r="I4" s="331">
        <v>4</v>
      </c>
      <c r="J4" s="331">
        <v>5</v>
      </c>
      <c r="K4" s="331">
        <v>6</v>
      </c>
      <c r="L4" s="331">
        <v>7</v>
      </c>
      <c r="M4" s="331">
        <v>8</v>
      </c>
      <c r="N4" s="536">
        <v>9</v>
      </c>
      <c r="O4" s="250"/>
      <c r="P4" s="334"/>
      <c r="Q4" s="335"/>
      <c r="R4" s="250"/>
      <c r="S4" s="250"/>
      <c r="T4" s="250"/>
      <c r="U4" s="250"/>
      <c r="V4" s="250"/>
      <c r="W4" s="250"/>
      <c r="X4" s="250"/>
      <c r="Y4" s="250"/>
      <c r="Z4" s="250"/>
      <c r="AA4" s="250"/>
      <c r="AB4" s="264"/>
      <c r="AD4" s="294">
        <f>COUNTIF(E6:N6,"&lt;0")</f>
        <v>0</v>
      </c>
    </row>
    <row r="5" spans="1:56" ht="15" customHeight="1" thickBot="1" x14ac:dyDescent="0.3">
      <c r="B5" s="275"/>
      <c r="C5" s="258"/>
      <c r="D5" s="283" t="s">
        <v>154</v>
      </c>
      <c r="E5" s="214">
        <v>0.86</v>
      </c>
      <c r="F5" s="215">
        <v>1.1499999999999999</v>
      </c>
      <c r="G5" s="215">
        <v>1.44</v>
      </c>
      <c r="H5" s="215">
        <v>1.95</v>
      </c>
      <c r="I5" s="215"/>
      <c r="J5" s="215"/>
      <c r="K5" s="215"/>
      <c r="L5" s="215"/>
      <c r="M5" s="215"/>
      <c r="N5" s="216"/>
      <c r="O5" s="254"/>
      <c r="P5" s="250"/>
      <c r="Q5" s="250"/>
      <c r="R5" s="250"/>
      <c r="S5" s="724" t="str">
        <f>IF( (Corr!B26*Corr!B27&lt;&gt;0)*(ABS(AA24-1)&lt;tol_Pr)=1,IF((Corr!D31=1)*(AD7=AD3)*(E3=""),"","**Error: Correlation requires all X &amp; C scores**"),"")</f>
        <v/>
      </c>
      <c r="T5" s="250"/>
      <c r="U5" s="250"/>
      <c r="V5" s="250"/>
      <c r="W5" s="250"/>
      <c r="X5" s="250"/>
      <c r="Y5" s="250"/>
      <c r="Z5" s="250"/>
      <c r="AA5" s="250"/>
      <c r="AB5" s="264"/>
    </row>
    <row r="6" spans="1:56" ht="15" customHeight="1" thickBot="1" x14ac:dyDescent="0.3">
      <c r="B6" s="265"/>
      <c r="C6" s="725" t="s">
        <v>221</v>
      </c>
      <c r="D6" s="283" t="s">
        <v>68</v>
      </c>
      <c r="E6" s="683">
        <v>1</v>
      </c>
      <c r="F6" s="217">
        <v>0.84</v>
      </c>
      <c r="G6" s="217">
        <v>0.66</v>
      </c>
      <c r="H6" s="217">
        <v>0.5</v>
      </c>
      <c r="I6" s="217"/>
      <c r="J6" s="217"/>
      <c r="K6" s="217"/>
      <c r="L6" s="217"/>
      <c r="M6" s="217"/>
      <c r="N6" s="218"/>
      <c r="O6" s="250"/>
      <c r="P6" s="250"/>
      <c r="Q6" s="589" t="s">
        <v>175</v>
      </c>
      <c r="R6" s="723">
        <f>IF((Corr!B26*Corr!B27&lt;&gt;0)*(ABS(AA24-1)&lt;tol_Pr)*(Corr!D31=1)*(AD7=AD3)*(E3="")=1,Corr!B29,"NA")</f>
        <v>-9.3785636690396745E-2</v>
      </c>
      <c r="S6" s="704" t="str">
        <f>IF(Corr!B26*Corr!B27&lt;&gt;0,IF(ABS(AA24-1)&lt;tol_Pr,"","**Error: P(X,C)≠1**"),"")</f>
        <v/>
      </c>
      <c r="T6" s="703"/>
      <c r="U6" s="909" t="s">
        <v>156</v>
      </c>
      <c r="V6" s="909"/>
      <c r="W6" s="909"/>
      <c r="X6" s="703"/>
      <c r="Y6" s="703"/>
      <c r="Z6" s="703"/>
      <c r="AA6" s="312"/>
      <c r="AB6" s="336"/>
      <c r="AC6" s="297"/>
      <c r="AD6" s="314">
        <f>10-COUNTBLANK(E6:N6)</f>
        <v>4</v>
      </c>
      <c r="AF6" s="327">
        <f t="shared" ref="AF6:AO6" si="0">IF(E6="",0,E6)</f>
        <v>1</v>
      </c>
      <c r="AG6" s="328">
        <f t="shared" si="0"/>
        <v>0.84</v>
      </c>
      <c r="AH6" s="328">
        <f t="shared" si="0"/>
        <v>0.66</v>
      </c>
      <c r="AI6" s="328">
        <f t="shared" si="0"/>
        <v>0.5</v>
      </c>
      <c r="AJ6" s="328">
        <f t="shared" si="0"/>
        <v>0</v>
      </c>
      <c r="AK6" s="328">
        <f t="shared" si="0"/>
        <v>0</v>
      </c>
      <c r="AL6" s="328">
        <f t="shared" si="0"/>
        <v>0</v>
      </c>
      <c r="AM6" s="328">
        <f t="shared" si="0"/>
        <v>0</v>
      </c>
      <c r="AN6" s="328">
        <f t="shared" si="0"/>
        <v>0</v>
      </c>
      <c r="AO6" s="329">
        <f t="shared" si="0"/>
        <v>0</v>
      </c>
      <c r="AS6" s="330">
        <f t="shared" ref="AS6:BB6" si="1">IF(E6="",0,E6-1)</f>
        <v>0</v>
      </c>
      <c r="AT6" s="328">
        <f t="shared" si="1"/>
        <v>-0.16000000000000003</v>
      </c>
      <c r="AU6" s="328">
        <f t="shared" si="1"/>
        <v>-0.33999999999999997</v>
      </c>
      <c r="AV6" s="328">
        <f t="shared" si="1"/>
        <v>-0.5</v>
      </c>
      <c r="AW6" s="328">
        <f t="shared" si="1"/>
        <v>0</v>
      </c>
      <c r="AX6" s="328">
        <f t="shared" si="1"/>
        <v>0</v>
      </c>
      <c r="AY6" s="328">
        <f t="shared" si="1"/>
        <v>0</v>
      </c>
      <c r="AZ6" s="328">
        <f t="shared" si="1"/>
        <v>0</v>
      </c>
      <c r="BA6" s="328">
        <f t="shared" si="1"/>
        <v>0</v>
      </c>
      <c r="BB6" s="329">
        <f t="shared" si="1"/>
        <v>0</v>
      </c>
      <c r="BC6" s="259"/>
      <c r="BD6" s="259"/>
    </row>
    <row r="7" spans="1:56" ht="18.75" customHeight="1" thickBot="1" x14ac:dyDescent="0.3">
      <c r="B7" s="302" t="s">
        <v>176</v>
      </c>
      <c r="C7" s="302" t="s">
        <v>54</v>
      </c>
      <c r="D7" s="302" t="s">
        <v>138</v>
      </c>
      <c r="E7" s="323"/>
      <c r="F7" s="324"/>
      <c r="G7" s="324"/>
      <c r="H7" s="922" t="s">
        <v>210</v>
      </c>
      <c r="I7" s="922"/>
      <c r="J7" s="922"/>
      <c r="K7" s="922"/>
      <c r="L7" s="324"/>
      <c r="M7" s="324"/>
      <c r="N7" s="325"/>
      <c r="O7" s="302" t="s">
        <v>3</v>
      </c>
      <c r="P7" s="326" t="str">
        <f>IF(COUNTBLANK(P8:P23)=16,"","Warning:")</f>
        <v/>
      </c>
      <c r="Q7" s="209">
        <v>0</v>
      </c>
      <c r="R7" s="210">
        <v>1</v>
      </c>
      <c r="S7" s="210">
        <v>2</v>
      </c>
      <c r="T7" s="210">
        <v>3</v>
      </c>
      <c r="U7" s="210">
        <v>4</v>
      </c>
      <c r="V7" s="210">
        <v>5</v>
      </c>
      <c r="W7" s="210">
        <v>6</v>
      </c>
      <c r="X7" s="210">
        <v>7</v>
      </c>
      <c r="Y7" s="210">
        <v>8</v>
      </c>
      <c r="Z7" s="211">
        <v>9</v>
      </c>
      <c r="AA7" s="687" t="s">
        <v>255</v>
      </c>
      <c r="AB7" s="276"/>
      <c r="AD7" s="314">
        <f>MAX(AD8:AD23)</f>
        <v>4</v>
      </c>
      <c r="AF7" s="294"/>
      <c r="AS7" s="259" t="s">
        <v>4</v>
      </c>
      <c r="AT7" s="259"/>
      <c r="AU7" s="259"/>
      <c r="AV7" s="259"/>
      <c r="AW7" s="259"/>
      <c r="AX7" s="259"/>
      <c r="AY7" s="259"/>
      <c r="AZ7" s="259"/>
      <c r="BA7" s="259"/>
      <c r="BB7" s="259"/>
      <c r="BC7" s="259"/>
      <c r="BD7" s="259"/>
    </row>
    <row r="8" spans="1:56" ht="15" customHeight="1" x14ac:dyDescent="0.25">
      <c r="B8" s="309">
        <v>0</v>
      </c>
      <c r="C8" s="219">
        <v>0.621</v>
      </c>
      <c r="D8" s="219">
        <v>0</v>
      </c>
      <c r="E8" s="222">
        <v>0.14313599999999999</v>
      </c>
      <c r="F8" s="223">
        <v>0.32052199999999997</v>
      </c>
      <c r="G8" s="223">
        <v>0.24514900000000001</v>
      </c>
      <c r="H8" s="223">
        <v>0.29119299999999998</v>
      </c>
      <c r="I8" s="223"/>
      <c r="J8" s="223"/>
      <c r="K8" s="223"/>
      <c r="L8" s="223"/>
      <c r="M8" s="223"/>
      <c r="N8" s="224"/>
      <c r="O8" s="319">
        <f t="shared" ref="O8:O23" si="2">IF(AD8=0,"",SUM(AF8:AO8))</f>
        <v>1</v>
      </c>
      <c r="P8" s="320" t="str">
        <f t="shared" ref="P8:P23" si="3">IF(O8="","",IF(ABS(O8-1)&lt;tol_Pr,"","**P(C|X) ≠ 1**"))</f>
        <v/>
      </c>
      <c r="Q8" s="206">
        <f>IF($C8="","",IF(E8="","",$C8*E8))</f>
        <v>8.888745599999999E-2</v>
      </c>
      <c r="R8" s="207">
        <f t="shared" ref="R8:Z8" si="4">IF($C8="","",IF(F8="","",$C8*F8))</f>
        <v>0.19904416199999997</v>
      </c>
      <c r="S8" s="207">
        <f t="shared" si="4"/>
        <v>0.15223752900000001</v>
      </c>
      <c r="T8" s="207">
        <f t="shared" si="4"/>
        <v>0.18083085299999999</v>
      </c>
      <c r="U8" s="207" t="str">
        <f t="shared" si="4"/>
        <v/>
      </c>
      <c r="V8" s="207" t="str">
        <f t="shared" si="4"/>
        <v/>
      </c>
      <c r="W8" s="207" t="str">
        <f t="shared" si="4"/>
        <v/>
      </c>
      <c r="X8" s="207" t="str">
        <f t="shared" si="4"/>
        <v/>
      </c>
      <c r="Y8" s="207" t="str">
        <f t="shared" si="4"/>
        <v/>
      </c>
      <c r="Z8" s="207" t="str">
        <f t="shared" si="4"/>
        <v/>
      </c>
      <c r="AA8" s="694">
        <f t="shared" ref="AA8:AA23" si="5">IF(C8="","",$C8*O8)</f>
        <v>0.621</v>
      </c>
      <c r="AB8" s="276"/>
      <c r="AD8" s="315">
        <f>10-COUNTBLANK(E8:N8)</f>
        <v>4</v>
      </c>
      <c r="AE8" s="315"/>
      <c r="AF8" s="569">
        <f t="shared" ref="AF8:AF23" si="6">IF(E8="",0,E8)</f>
        <v>0.14313599999999999</v>
      </c>
      <c r="AG8" s="570">
        <f t="shared" ref="AG8:AG23" si="7">IF(F8="",0,F8)</f>
        <v>0.32052199999999997</v>
      </c>
      <c r="AH8" s="570">
        <f t="shared" ref="AH8:AH23" si="8">IF(G8="",0,G8)</f>
        <v>0.24514900000000001</v>
      </c>
      <c r="AI8" s="570">
        <f t="shared" ref="AI8:AI23" si="9">IF(H8="",0,H8)</f>
        <v>0.29119299999999998</v>
      </c>
      <c r="AJ8" s="570">
        <f t="shared" ref="AJ8:AJ23" si="10">IF(I8="",0,I8)</f>
        <v>0</v>
      </c>
      <c r="AK8" s="570">
        <f t="shared" ref="AK8:AK23" si="11">IF(J8="",0,J8)</f>
        <v>0</v>
      </c>
      <c r="AL8" s="570">
        <f t="shared" ref="AL8:AL23" si="12">IF(K8="",0,K8)</f>
        <v>0</v>
      </c>
      <c r="AM8" s="570">
        <f t="shared" ref="AM8:AM23" si="13">IF(L8="",0,L8)</f>
        <v>0</v>
      </c>
      <c r="AN8" s="570">
        <f t="shared" ref="AN8:AN23" si="14">IF(M8="",0,M8)</f>
        <v>0</v>
      </c>
      <c r="AO8" s="571">
        <f t="shared" ref="AO8:AO23" si="15">IF(N8="",0,N8)</f>
        <v>0</v>
      </c>
      <c r="AQ8" s="316">
        <f t="array" ref="AQ8">MMULT($AF$6:$AO$6,TRANSPOSE(AF8:AO8))</f>
        <v>0.71976931999999993</v>
      </c>
      <c r="AR8" s="316"/>
      <c r="AS8" s="569">
        <f t="shared" ref="AS8:AS23" si="16">IF(E8="",0,E$8*($C79+1)-E8)</f>
        <v>0</v>
      </c>
      <c r="AT8" s="584">
        <f t="shared" ref="AT8:AT23" si="17">IF(F8="",0,F$8*($C79+1)-F8)</f>
        <v>0</v>
      </c>
      <c r="AU8" s="570">
        <f t="shared" ref="AU8:AU23" si="18">IF(G8="",0,G$8*($C79+1)-G8)</f>
        <v>0</v>
      </c>
      <c r="AV8" s="570">
        <f t="shared" ref="AV8:AV23" si="19">IF(H8="",0,H$8*($C79+1)-H8)</f>
        <v>0</v>
      </c>
      <c r="AW8" s="570">
        <f t="shared" ref="AW8:AW23" si="20">IF(I8="",0,I$8*($C79+1)-I8)</f>
        <v>0</v>
      </c>
      <c r="AX8" s="570">
        <f t="shared" ref="AX8:AX23" si="21">IF(J8="",0,J$8*($C79+1)-J8)</f>
        <v>0</v>
      </c>
      <c r="AY8" s="570">
        <f t="shared" ref="AY8:AY23" si="22">IF(K8="",0,K$8*($C79+1)-K8)</f>
        <v>0</v>
      </c>
      <c r="AZ8" s="570">
        <f t="shared" ref="AZ8:AZ23" si="23">IF(L8="",0,L$8*($C79+1)-L8)</f>
        <v>0</v>
      </c>
      <c r="BA8" s="570">
        <f t="shared" ref="BA8:BA23" si="24">IF(M8="",0,M$8*($C79+1)-M8)</f>
        <v>0</v>
      </c>
      <c r="BB8" s="571">
        <f t="shared" ref="BB8:BB23" si="25">IF(N8="",0,N$8*($C79+1)-N8)</f>
        <v>0</v>
      </c>
      <c r="BC8" s="259"/>
      <c r="BD8" s="316">
        <f t="array" ref="BD8">MMULT($AS$6:$BB$6,TRANSPOSE(AS8:BB8))</f>
        <v>0</v>
      </c>
    </row>
    <row r="9" spans="1:56" ht="15" customHeight="1" x14ac:dyDescent="0.25">
      <c r="B9" s="307">
        <v>1</v>
      </c>
      <c r="C9" s="220">
        <v>0.218</v>
      </c>
      <c r="D9" s="220">
        <v>6.6524299999999998</v>
      </c>
      <c r="E9" s="225">
        <v>0.16232500000000002</v>
      </c>
      <c r="F9" s="205">
        <v>0.31692500000000001</v>
      </c>
      <c r="G9" s="205">
        <v>0.23321500000000001</v>
      </c>
      <c r="H9" s="205">
        <v>0.28753499999999999</v>
      </c>
      <c r="I9" s="205"/>
      <c r="J9" s="205"/>
      <c r="K9" s="205"/>
      <c r="L9" s="205"/>
      <c r="M9" s="205"/>
      <c r="N9" s="226"/>
      <c r="O9" s="321">
        <f t="shared" si="2"/>
        <v>1</v>
      </c>
      <c r="P9" s="320" t="str">
        <f t="shared" si="3"/>
        <v/>
      </c>
      <c r="Q9" s="206">
        <f t="shared" ref="Q9:Q23" si="26">IF($C9="","",IF(E9="","",$C9*E9))</f>
        <v>3.5386850000000004E-2</v>
      </c>
      <c r="R9" s="207">
        <f t="shared" ref="R9:R23" si="27">IF($C9="","",IF(F9="","",$C9*F9))</f>
        <v>6.9089650000000002E-2</v>
      </c>
      <c r="S9" s="207">
        <f t="shared" ref="S9:S23" si="28">IF($C9="","",IF(G9="","",$C9*G9))</f>
        <v>5.0840870000000003E-2</v>
      </c>
      <c r="T9" s="207">
        <f t="shared" ref="T9:T23" si="29">IF($C9="","",IF(H9="","",$C9*H9))</f>
        <v>6.2682630000000003E-2</v>
      </c>
      <c r="U9" s="207" t="str">
        <f t="shared" ref="U9:U23" si="30">IF($C9="","",IF(I9="","",$C9*I9))</f>
        <v/>
      </c>
      <c r="V9" s="207" t="str">
        <f t="shared" ref="V9:V23" si="31">IF($C9="","",IF(J9="","",$C9*J9))</f>
        <v/>
      </c>
      <c r="W9" s="207" t="str">
        <f t="shared" ref="W9:W23" si="32">IF($C9="","",IF(K9="","",$C9*K9))</f>
        <v/>
      </c>
      <c r="X9" s="207" t="str">
        <f t="shared" ref="X9:X23" si="33">IF($C9="","",IF(L9="","",$C9*L9))</f>
        <v/>
      </c>
      <c r="Y9" s="207" t="str">
        <f t="shared" ref="Y9:Y23" si="34">IF($C9="","",IF(M9="","",$C9*M9))</f>
        <v/>
      </c>
      <c r="Z9" s="207" t="str">
        <f t="shared" ref="Z9:Z23" si="35">IF($C9="","",IF(N9="","",$C9*N9))</f>
        <v/>
      </c>
      <c r="AA9" s="695">
        <f t="shared" si="5"/>
        <v>0.218</v>
      </c>
      <c r="AB9" s="276"/>
      <c r="AD9" s="315">
        <f>10-COUNTBLANK(E9:N9)</f>
        <v>4</v>
      </c>
      <c r="AE9" s="315"/>
      <c r="AF9" s="317">
        <f t="shared" si="6"/>
        <v>0.16232500000000002</v>
      </c>
      <c r="AG9" s="318">
        <f t="shared" si="7"/>
        <v>0.31692500000000001</v>
      </c>
      <c r="AH9" s="318">
        <f t="shared" si="8"/>
        <v>0.23321500000000001</v>
      </c>
      <c r="AI9" s="318">
        <f t="shared" si="9"/>
        <v>0.28753499999999999</v>
      </c>
      <c r="AJ9" s="318">
        <f t="shared" si="10"/>
        <v>0</v>
      </c>
      <c r="AK9" s="318">
        <f t="shared" si="11"/>
        <v>0</v>
      </c>
      <c r="AL9" s="318">
        <f t="shared" si="12"/>
        <v>0</v>
      </c>
      <c r="AM9" s="318">
        <f t="shared" si="13"/>
        <v>0</v>
      </c>
      <c r="AN9" s="318">
        <f t="shared" si="14"/>
        <v>0</v>
      </c>
      <c r="AO9" s="572">
        <f t="shared" si="15"/>
        <v>0</v>
      </c>
      <c r="AQ9" s="316">
        <f t="array" ref="AQ9">MMULT($AF$6:$AO$6,TRANSPOSE(AF9:AO9))</f>
        <v>0.72623140000000008</v>
      </c>
      <c r="AS9" s="317">
        <f t="shared" si="16"/>
        <v>1.8026359999999964E-2</v>
      </c>
      <c r="AT9" s="585">
        <f t="shared" si="17"/>
        <v>8.6932719999999963E-2</v>
      </c>
      <c r="AU9" s="318">
        <f t="shared" si="18"/>
        <v>7.5672740000000016E-2</v>
      </c>
      <c r="AV9" s="318">
        <f t="shared" si="19"/>
        <v>7.936818000000001E-2</v>
      </c>
      <c r="AW9" s="318">
        <f t="shared" si="20"/>
        <v>0</v>
      </c>
      <c r="AX9" s="318">
        <f t="shared" si="21"/>
        <v>0</v>
      </c>
      <c r="AY9" s="318">
        <f t="shared" si="22"/>
        <v>0</v>
      </c>
      <c r="AZ9" s="318">
        <f t="shared" si="23"/>
        <v>0</v>
      </c>
      <c r="BA9" s="318">
        <f t="shared" si="24"/>
        <v>0</v>
      </c>
      <c r="BB9" s="572">
        <f t="shared" si="25"/>
        <v>0</v>
      </c>
      <c r="BC9" s="259"/>
      <c r="BD9" s="316">
        <f t="array" ref="BD9">MMULT($AS$6:$BB$6,TRANSPOSE(AS9:BB9))</f>
        <v>-7.9322056800000013E-2</v>
      </c>
    </row>
    <row r="10" spans="1:56" ht="15" customHeight="1" x14ac:dyDescent="0.25">
      <c r="B10" s="307">
        <v>2</v>
      </c>
      <c r="C10" s="220">
        <v>5.2999999999999999E-2</v>
      </c>
      <c r="D10" s="220">
        <v>23.531600000000001</v>
      </c>
      <c r="E10" s="225">
        <v>0.22681599999999999</v>
      </c>
      <c r="F10" s="205">
        <v>0.35488700000000001</v>
      </c>
      <c r="G10" s="205">
        <v>0.23813500000000001</v>
      </c>
      <c r="H10" s="205">
        <v>0.18016199999999999</v>
      </c>
      <c r="I10" s="205"/>
      <c r="J10" s="205"/>
      <c r="K10" s="205"/>
      <c r="L10" s="205"/>
      <c r="M10" s="205"/>
      <c r="N10" s="226"/>
      <c r="O10" s="321">
        <f t="shared" si="2"/>
        <v>1</v>
      </c>
      <c r="P10" s="320" t="str">
        <f t="shared" si="3"/>
        <v/>
      </c>
      <c r="Q10" s="206">
        <f t="shared" si="26"/>
        <v>1.2021247999999998E-2</v>
      </c>
      <c r="R10" s="207">
        <f t="shared" si="27"/>
        <v>1.8809011E-2</v>
      </c>
      <c r="S10" s="207">
        <f t="shared" si="28"/>
        <v>1.2621155E-2</v>
      </c>
      <c r="T10" s="207">
        <f t="shared" si="29"/>
        <v>9.5485859999999995E-3</v>
      </c>
      <c r="U10" s="207" t="str">
        <f t="shared" si="30"/>
        <v/>
      </c>
      <c r="V10" s="207" t="str">
        <f t="shared" si="31"/>
        <v/>
      </c>
      <c r="W10" s="207" t="str">
        <f t="shared" si="32"/>
        <v/>
      </c>
      <c r="X10" s="207" t="str">
        <f t="shared" si="33"/>
        <v/>
      </c>
      <c r="Y10" s="207" t="str">
        <f t="shared" si="34"/>
        <v/>
      </c>
      <c r="Z10" s="207" t="str">
        <f t="shared" si="35"/>
        <v/>
      </c>
      <c r="AA10" s="695">
        <f t="shared" si="5"/>
        <v>5.2999999999999999E-2</v>
      </c>
      <c r="AB10" s="276"/>
      <c r="AD10" s="315">
        <f>10-COUNTBLANK(E10:N10)</f>
        <v>4</v>
      </c>
      <c r="AE10" s="315"/>
      <c r="AF10" s="317">
        <f t="shared" si="6"/>
        <v>0.22681599999999999</v>
      </c>
      <c r="AG10" s="318">
        <f t="shared" si="7"/>
        <v>0.35488700000000001</v>
      </c>
      <c r="AH10" s="318">
        <f t="shared" si="8"/>
        <v>0.23813500000000001</v>
      </c>
      <c r="AI10" s="318">
        <f t="shared" si="9"/>
        <v>0.18016199999999999</v>
      </c>
      <c r="AJ10" s="318">
        <f t="shared" si="10"/>
        <v>0</v>
      </c>
      <c r="AK10" s="318">
        <f t="shared" si="11"/>
        <v>0</v>
      </c>
      <c r="AL10" s="318">
        <f t="shared" si="12"/>
        <v>0</v>
      </c>
      <c r="AM10" s="318">
        <f t="shared" si="13"/>
        <v>0</v>
      </c>
      <c r="AN10" s="318">
        <f t="shared" si="14"/>
        <v>0</v>
      </c>
      <c r="AO10" s="572">
        <f t="shared" si="15"/>
        <v>0</v>
      </c>
      <c r="AQ10" s="316">
        <f t="array" ref="AQ10">MMULT($AF$6:$AO$6,TRANSPOSE(AF10:AO10))</f>
        <v>0.77217118000000007</v>
      </c>
      <c r="AR10" s="316"/>
      <c r="AS10" s="317">
        <f t="shared" si="16"/>
        <v>7.7024000000000536E-4</v>
      </c>
      <c r="AT10" s="585">
        <f t="shared" si="17"/>
        <v>0.15474298000000003</v>
      </c>
      <c r="AU10" s="318">
        <f t="shared" si="18"/>
        <v>0.15165191000000003</v>
      </c>
      <c r="AV10" s="318">
        <f t="shared" si="19"/>
        <v>0.28283487000000002</v>
      </c>
      <c r="AW10" s="318">
        <f t="shared" si="20"/>
        <v>0</v>
      </c>
      <c r="AX10" s="318">
        <f t="shared" si="21"/>
        <v>0</v>
      </c>
      <c r="AY10" s="318">
        <f t="shared" si="22"/>
        <v>0</v>
      </c>
      <c r="AZ10" s="318">
        <f t="shared" si="23"/>
        <v>0</v>
      </c>
      <c r="BA10" s="318">
        <f t="shared" si="24"/>
        <v>0</v>
      </c>
      <c r="BB10" s="572">
        <f t="shared" si="25"/>
        <v>0</v>
      </c>
      <c r="BC10" s="259"/>
      <c r="BD10" s="316">
        <f t="array" ref="BD10">MMULT($AS$6:$BB$6,TRANSPOSE(AS10:BB10))</f>
        <v>-0.21773796120000002</v>
      </c>
    </row>
    <row r="11" spans="1:56" ht="15" customHeight="1" x14ac:dyDescent="0.25">
      <c r="B11" s="307">
        <v>3</v>
      </c>
      <c r="C11" s="220">
        <v>3.9E-2</v>
      </c>
      <c r="D11" s="220">
        <v>33.539400000000001</v>
      </c>
      <c r="E11" s="225">
        <v>0.21522200000000002</v>
      </c>
      <c r="F11" s="205">
        <v>0.36678400000000005</v>
      </c>
      <c r="G11" s="205">
        <v>0.19762299999999999</v>
      </c>
      <c r="H11" s="205">
        <v>0.22037099999999998</v>
      </c>
      <c r="I11" s="205"/>
      <c r="J11" s="205"/>
      <c r="K11" s="205"/>
      <c r="L11" s="205"/>
      <c r="M11" s="205"/>
      <c r="N11" s="226"/>
      <c r="O11" s="321">
        <f t="shared" si="2"/>
        <v>1</v>
      </c>
      <c r="P11" s="320" t="str">
        <f t="shared" si="3"/>
        <v/>
      </c>
      <c r="Q11" s="206">
        <f t="shared" si="26"/>
        <v>8.3936580000000018E-3</v>
      </c>
      <c r="R11" s="207">
        <f t="shared" si="27"/>
        <v>1.4304576000000003E-2</v>
      </c>
      <c r="S11" s="207">
        <f t="shared" si="28"/>
        <v>7.7072970000000001E-3</v>
      </c>
      <c r="T11" s="207">
        <f t="shared" si="29"/>
        <v>8.5944689999999987E-3</v>
      </c>
      <c r="U11" s="207" t="str">
        <f t="shared" si="30"/>
        <v/>
      </c>
      <c r="V11" s="207" t="str">
        <f t="shared" si="31"/>
        <v/>
      </c>
      <c r="W11" s="207" t="str">
        <f t="shared" si="32"/>
        <v/>
      </c>
      <c r="X11" s="207" t="str">
        <f t="shared" si="33"/>
        <v/>
      </c>
      <c r="Y11" s="207" t="str">
        <f t="shared" si="34"/>
        <v/>
      </c>
      <c r="Z11" s="207" t="str">
        <f t="shared" si="35"/>
        <v/>
      </c>
      <c r="AA11" s="695">
        <f t="shared" si="5"/>
        <v>3.9E-2</v>
      </c>
      <c r="AB11" s="276"/>
      <c r="AD11" s="315">
        <f>10-COUNTBLANK(E11:N11)</f>
        <v>4</v>
      </c>
      <c r="AE11" s="315"/>
      <c r="AF11" s="317">
        <f t="shared" si="6"/>
        <v>0.21522200000000002</v>
      </c>
      <c r="AG11" s="318">
        <f t="shared" si="7"/>
        <v>0.36678400000000005</v>
      </c>
      <c r="AH11" s="318">
        <f t="shared" si="8"/>
        <v>0.19762299999999999</v>
      </c>
      <c r="AI11" s="318">
        <f t="shared" si="9"/>
        <v>0.22037099999999998</v>
      </c>
      <c r="AJ11" s="318">
        <f t="shared" si="10"/>
        <v>0</v>
      </c>
      <c r="AK11" s="318">
        <f t="shared" si="11"/>
        <v>0</v>
      </c>
      <c r="AL11" s="318">
        <f t="shared" si="12"/>
        <v>0</v>
      </c>
      <c r="AM11" s="318">
        <f t="shared" si="13"/>
        <v>0</v>
      </c>
      <c r="AN11" s="318">
        <f t="shared" si="14"/>
        <v>0</v>
      </c>
      <c r="AO11" s="572">
        <f t="shared" si="15"/>
        <v>0</v>
      </c>
      <c r="AQ11" s="316">
        <f t="array" ref="AQ11">MMULT($AF$6:$AO$6,TRANSPOSE(AF11:AO11))</f>
        <v>0.76393723999999996</v>
      </c>
      <c r="AS11" s="317">
        <f t="shared" si="16"/>
        <v>2.381511999999994E-2</v>
      </c>
      <c r="AT11" s="318">
        <f t="shared" si="17"/>
        <v>0.16848773999999983</v>
      </c>
      <c r="AU11" s="318">
        <f t="shared" si="18"/>
        <v>0.21177583</v>
      </c>
      <c r="AV11" s="318">
        <f t="shared" si="19"/>
        <v>0.26592130999999997</v>
      </c>
      <c r="AW11" s="318">
        <f t="shared" si="20"/>
        <v>0</v>
      </c>
      <c r="AX11" s="318">
        <f t="shared" si="21"/>
        <v>0</v>
      </c>
      <c r="AY11" s="318">
        <f t="shared" si="22"/>
        <v>0</v>
      </c>
      <c r="AZ11" s="318">
        <f t="shared" si="23"/>
        <v>0</v>
      </c>
      <c r="BA11" s="318">
        <f t="shared" si="24"/>
        <v>0</v>
      </c>
      <c r="BB11" s="572">
        <f t="shared" si="25"/>
        <v>0</v>
      </c>
      <c r="BC11" s="259"/>
      <c r="BD11" s="316">
        <f t="array" ref="BD11">MMULT($AS$6:$BB$6,TRANSPOSE(AS11:BB11))</f>
        <v>-0.23192247559999996</v>
      </c>
    </row>
    <row r="12" spans="1:56" ht="15" customHeight="1" x14ac:dyDescent="0.25">
      <c r="B12" s="307">
        <v>4</v>
      </c>
      <c r="C12" s="220">
        <v>2.5000000000000001E-2</v>
      </c>
      <c r="D12" s="220">
        <v>43.674599999999998</v>
      </c>
      <c r="E12" s="225">
        <v>0.255994</v>
      </c>
      <c r="F12" s="205">
        <v>0.35098999999999997</v>
      </c>
      <c r="G12" s="205">
        <v>0.198911</v>
      </c>
      <c r="H12" s="205">
        <v>0.194105</v>
      </c>
      <c r="I12" s="205"/>
      <c r="J12" s="205"/>
      <c r="K12" s="205"/>
      <c r="L12" s="205"/>
      <c r="M12" s="205"/>
      <c r="N12" s="226"/>
      <c r="O12" s="321">
        <f t="shared" si="2"/>
        <v>1</v>
      </c>
      <c r="P12" s="320" t="str">
        <f t="shared" si="3"/>
        <v/>
      </c>
      <c r="Q12" s="206">
        <f t="shared" si="26"/>
        <v>6.3998500000000003E-3</v>
      </c>
      <c r="R12" s="207">
        <f t="shared" si="27"/>
        <v>8.7747499999999996E-3</v>
      </c>
      <c r="S12" s="207">
        <f t="shared" si="28"/>
        <v>4.9727750000000005E-3</v>
      </c>
      <c r="T12" s="207">
        <f t="shared" si="29"/>
        <v>4.8526250000000002E-3</v>
      </c>
      <c r="U12" s="207" t="str">
        <f t="shared" si="30"/>
        <v/>
      </c>
      <c r="V12" s="207" t="str">
        <f t="shared" si="31"/>
        <v/>
      </c>
      <c r="W12" s="207" t="str">
        <f t="shared" si="32"/>
        <v/>
      </c>
      <c r="X12" s="207" t="str">
        <f t="shared" si="33"/>
        <v/>
      </c>
      <c r="Y12" s="207" t="str">
        <f t="shared" si="34"/>
        <v/>
      </c>
      <c r="Z12" s="207" t="str">
        <f t="shared" si="35"/>
        <v/>
      </c>
      <c r="AA12" s="695">
        <f t="shared" si="5"/>
        <v>2.5000000000000001E-2</v>
      </c>
      <c r="AB12" s="276"/>
      <c r="AD12" s="315">
        <f>10-COUNTBLANK(E12:N12)</f>
        <v>4</v>
      </c>
      <c r="AE12" s="315"/>
      <c r="AF12" s="317">
        <f t="shared" si="6"/>
        <v>0.255994</v>
      </c>
      <c r="AG12" s="318">
        <f t="shared" si="7"/>
        <v>0.35098999999999997</v>
      </c>
      <c r="AH12" s="318">
        <f t="shared" si="8"/>
        <v>0.198911</v>
      </c>
      <c r="AI12" s="318">
        <f t="shared" si="9"/>
        <v>0.194105</v>
      </c>
      <c r="AJ12" s="318">
        <f t="shared" si="10"/>
        <v>0</v>
      </c>
      <c r="AK12" s="318">
        <f t="shared" si="11"/>
        <v>0</v>
      </c>
      <c r="AL12" s="318">
        <f t="shared" si="12"/>
        <v>0</v>
      </c>
      <c r="AM12" s="318">
        <f t="shared" si="13"/>
        <v>0</v>
      </c>
      <c r="AN12" s="318">
        <f t="shared" si="14"/>
        <v>0</v>
      </c>
      <c r="AO12" s="572">
        <f t="shared" si="15"/>
        <v>0</v>
      </c>
      <c r="AQ12" s="316">
        <f t="array" ref="AQ12">MMULT($AF$6:$AO$6,TRANSPOSE(AF12:AO12))</f>
        <v>0.77915935999999997</v>
      </c>
      <c r="AS12" s="317">
        <f t="shared" si="16"/>
        <v>2.7415279999999986E-2</v>
      </c>
      <c r="AT12" s="318">
        <f t="shared" si="17"/>
        <v>0.28364355999999996</v>
      </c>
      <c r="AU12" s="318">
        <f t="shared" si="18"/>
        <v>0.28648402000000001</v>
      </c>
      <c r="AV12" s="318">
        <f t="shared" si="19"/>
        <v>0.38245713999999997</v>
      </c>
      <c r="AW12" s="318">
        <f t="shared" si="20"/>
        <v>0</v>
      </c>
      <c r="AX12" s="318">
        <f t="shared" si="21"/>
        <v>0</v>
      </c>
      <c r="AY12" s="318">
        <f t="shared" si="22"/>
        <v>0</v>
      </c>
      <c r="AZ12" s="318">
        <f t="shared" si="23"/>
        <v>0</v>
      </c>
      <c r="BA12" s="318">
        <f t="shared" si="24"/>
        <v>0</v>
      </c>
      <c r="BB12" s="572">
        <f t="shared" si="25"/>
        <v>0</v>
      </c>
      <c r="BC12" s="259"/>
      <c r="BD12" s="316">
        <f t="array" ref="BD12">MMULT($AS$6:$BB$6,TRANSPOSE(AS12:BB12))</f>
        <v>-0.33401610640000001</v>
      </c>
    </row>
    <row r="13" spans="1:56" ht="15" customHeight="1" x14ac:dyDescent="0.25">
      <c r="B13" s="307">
        <v>5</v>
      </c>
      <c r="C13" s="220">
        <v>1.4999999999999999E-2</v>
      </c>
      <c r="D13" s="220">
        <v>53.618000000000002</v>
      </c>
      <c r="E13" s="225">
        <v>0.26041199999999998</v>
      </c>
      <c r="F13" s="205">
        <v>0.33719199999999999</v>
      </c>
      <c r="G13" s="205">
        <v>0.18612100000000001</v>
      </c>
      <c r="H13" s="205">
        <v>0.21627500000000002</v>
      </c>
      <c r="I13" s="205"/>
      <c r="J13" s="205"/>
      <c r="K13" s="205"/>
      <c r="L13" s="205"/>
      <c r="M13" s="205"/>
      <c r="N13" s="226"/>
      <c r="O13" s="321">
        <f t="shared" si="2"/>
        <v>1</v>
      </c>
      <c r="P13" s="320" t="str">
        <f t="shared" si="3"/>
        <v/>
      </c>
      <c r="Q13" s="206">
        <f t="shared" si="26"/>
        <v>3.9061799999999995E-3</v>
      </c>
      <c r="R13" s="207">
        <f t="shared" si="27"/>
        <v>5.0578799999999998E-3</v>
      </c>
      <c r="S13" s="207">
        <f t="shared" si="28"/>
        <v>2.791815E-3</v>
      </c>
      <c r="T13" s="207">
        <f t="shared" si="29"/>
        <v>3.244125E-3</v>
      </c>
      <c r="U13" s="207" t="str">
        <f t="shared" si="30"/>
        <v/>
      </c>
      <c r="V13" s="207" t="str">
        <f t="shared" si="31"/>
        <v/>
      </c>
      <c r="W13" s="207" t="str">
        <f t="shared" si="32"/>
        <v/>
      </c>
      <c r="X13" s="207" t="str">
        <f t="shared" si="33"/>
        <v/>
      </c>
      <c r="Y13" s="207" t="str">
        <f t="shared" si="34"/>
        <v/>
      </c>
      <c r="Z13" s="207" t="str">
        <f t="shared" si="35"/>
        <v/>
      </c>
      <c r="AA13" s="695">
        <f>IF(C13="","",$C13*O13)</f>
        <v>1.4999999999999999E-2</v>
      </c>
      <c r="AB13" s="276"/>
      <c r="AD13" s="315">
        <f t="shared" ref="AD13:AD23" si="36">10-COUNTBLANK(E13:N13)</f>
        <v>4</v>
      </c>
      <c r="AE13" s="315"/>
      <c r="AF13" s="317">
        <f t="shared" si="6"/>
        <v>0.26041199999999998</v>
      </c>
      <c r="AG13" s="318">
        <f t="shared" si="7"/>
        <v>0.33719199999999999</v>
      </c>
      <c r="AH13" s="585">
        <f t="shared" si="8"/>
        <v>0.18612100000000001</v>
      </c>
      <c r="AI13" s="318">
        <f t="shared" si="9"/>
        <v>0.21627500000000002</v>
      </c>
      <c r="AJ13" s="318">
        <f t="shared" si="10"/>
        <v>0</v>
      </c>
      <c r="AK13" s="318">
        <f t="shared" si="11"/>
        <v>0</v>
      </c>
      <c r="AL13" s="318">
        <f t="shared" si="12"/>
        <v>0</v>
      </c>
      <c r="AM13" s="318">
        <f t="shared" si="13"/>
        <v>0</v>
      </c>
      <c r="AN13" s="318">
        <f t="shared" si="14"/>
        <v>0</v>
      </c>
      <c r="AO13" s="572">
        <f t="shared" si="15"/>
        <v>0</v>
      </c>
      <c r="AQ13" s="316">
        <f t="array" ref="AQ13">MMULT($AF$6:$AO$6,TRANSPOSE(AF13:AO13))</f>
        <v>0.77463064000000004</v>
      </c>
      <c r="AS13" s="317">
        <f t="shared" si="16"/>
        <v>5.1624480000000028E-2</v>
      </c>
      <c r="AT13" s="318">
        <f t="shared" si="17"/>
        <v>0.36154596</v>
      </c>
      <c r="AU13" s="318">
        <f t="shared" si="18"/>
        <v>0.34830382000000004</v>
      </c>
      <c r="AV13" s="318">
        <f t="shared" si="19"/>
        <v>0.41852573999999998</v>
      </c>
      <c r="AW13" s="318">
        <f t="shared" si="20"/>
        <v>0</v>
      </c>
      <c r="AX13" s="318">
        <f t="shared" si="21"/>
        <v>0</v>
      </c>
      <c r="AY13" s="318">
        <f t="shared" si="22"/>
        <v>0</v>
      </c>
      <c r="AZ13" s="318">
        <f t="shared" si="23"/>
        <v>0</v>
      </c>
      <c r="BA13" s="318">
        <f t="shared" si="24"/>
        <v>0</v>
      </c>
      <c r="BB13" s="572">
        <f t="shared" si="25"/>
        <v>0</v>
      </c>
      <c r="BC13" s="259"/>
      <c r="BD13" s="316">
        <f t="array" ref="BD13">MMULT($AS$6:$BB$6,TRANSPOSE(AS13:BB13))</f>
        <v>-0.38553352239999999</v>
      </c>
    </row>
    <row r="14" spans="1:56" ht="15" customHeight="1" x14ac:dyDescent="0.25">
      <c r="B14" s="307">
        <v>6</v>
      </c>
      <c r="C14" s="220">
        <v>2.9000000000000001E-2</v>
      </c>
      <c r="D14" s="220">
        <v>80.8767</v>
      </c>
      <c r="E14" s="225">
        <v>0.26688699999999999</v>
      </c>
      <c r="F14" s="205">
        <v>0.33310400000000001</v>
      </c>
      <c r="G14" s="205">
        <v>0.20542199999999999</v>
      </c>
      <c r="H14" s="205">
        <v>0.19458700000000001</v>
      </c>
      <c r="I14" s="205"/>
      <c r="J14" s="205"/>
      <c r="K14" s="205"/>
      <c r="L14" s="205"/>
      <c r="M14" s="205"/>
      <c r="N14" s="226"/>
      <c r="O14" s="321">
        <f t="shared" si="2"/>
        <v>1</v>
      </c>
      <c r="P14" s="320" t="str">
        <f t="shared" si="3"/>
        <v/>
      </c>
      <c r="Q14" s="206">
        <f t="shared" si="26"/>
        <v>7.7397229999999996E-3</v>
      </c>
      <c r="R14" s="207">
        <f t="shared" si="27"/>
        <v>9.6600160000000004E-3</v>
      </c>
      <c r="S14" s="207">
        <f t="shared" si="28"/>
        <v>5.9572380000000001E-3</v>
      </c>
      <c r="T14" s="207">
        <f t="shared" si="29"/>
        <v>5.6430230000000005E-3</v>
      </c>
      <c r="U14" s="207" t="str">
        <f t="shared" si="30"/>
        <v/>
      </c>
      <c r="V14" s="207" t="str">
        <f t="shared" si="31"/>
        <v/>
      </c>
      <c r="W14" s="207" t="str">
        <f t="shared" si="32"/>
        <v/>
      </c>
      <c r="X14" s="207" t="str">
        <f t="shared" si="33"/>
        <v/>
      </c>
      <c r="Y14" s="207" t="str">
        <f t="shared" si="34"/>
        <v/>
      </c>
      <c r="Z14" s="207" t="str">
        <f t="shared" si="35"/>
        <v/>
      </c>
      <c r="AA14" s="695">
        <f>IF(C14="","",$C14*O14)</f>
        <v>2.9000000000000001E-2</v>
      </c>
      <c r="AB14" s="276"/>
      <c r="AD14" s="315">
        <f>10-COUNTBLANK(E14:N14)</f>
        <v>4</v>
      </c>
      <c r="AE14" s="315"/>
      <c r="AF14" s="317">
        <f t="shared" si="6"/>
        <v>0.26688699999999999</v>
      </c>
      <c r="AG14" s="318">
        <f t="shared" si="7"/>
        <v>0.33310400000000001</v>
      </c>
      <c r="AH14" s="318">
        <f t="shared" si="8"/>
        <v>0.20542199999999999</v>
      </c>
      <c r="AI14" s="318">
        <f t="shared" si="9"/>
        <v>0.19458700000000001</v>
      </c>
      <c r="AJ14" s="318">
        <f t="shared" si="10"/>
        <v>0</v>
      </c>
      <c r="AK14" s="318">
        <f t="shared" si="11"/>
        <v>0</v>
      </c>
      <c r="AL14" s="318">
        <f t="shared" si="12"/>
        <v>0</v>
      </c>
      <c r="AM14" s="318">
        <f t="shared" si="13"/>
        <v>0</v>
      </c>
      <c r="AN14" s="318">
        <f t="shared" si="14"/>
        <v>0</v>
      </c>
      <c r="AO14" s="572">
        <f t="shared" si="15"/>
        <v>0</v>
      </c>
      <c r="AQ14" s="316">
        <f t="array" ref="AQ14">MMULT($AF$6:$AO$6,TRANSPOSE(AF14:AO14))</f>
        <v>0.77956638000000011</v>
      </c>
      <c r="AS14" s="317">
        <f t="shared" si="16"/>
        <v>5.6600359999999961E-2</v>
      </c>
      <c r="AT14" s="318">
        <f t="shared" si="17"/>
        <v>0.39127571999999983</v>
      </c>
      <c r="AU14" s="318">
        <f t="shared" si="18"/>
        <v>0.34861473999999992</v>
      </c>
      <c r="AV14" s="318">
        <f t="shared" si="19"/>
        <v>0.46350917999999991</v>
      </c>
      <c r="AW14" s="318">
        <f t="shared" si="20"/>
        <v>0</v>
      </c>
      <c r="AX14" s="318">
        <f t="shared" si="21"/>
        <v>0</v>
      </c>
      <c r="AY14" s="318">
        <f t="shared" si="22"/>
        <v>0</v>
      </c>
      <c r="AZ14" s="318">
        <f t="shared" si="23"/>
        <v>0</v>
      </c>
      <c r="BA14" s="318">
        <f t="shared" si="24"/>
        <v>0</v>
      </c>
      <c r="BB14" s="572">
        <f t="shared" si="25"/>
        <v>0</v>
      </c>
      <c r="BC14" s="259"/>
      <c r="BD14" s="316">
        <f t="array" ref="BD14">MMULT($AS$6:$BB$6,TRANSPOSE(AS14:BB14))</f>
        <v>-0.41288771679999992</v>
      </c>
    </row>
    <row r="15" spans="1:56" ht="15" customHeight="1" x14ac:dyDescent="0.25">
      <c r="B15" s="307">
        <v>7</v>
      </c>
      <c r="C15" s="220"/>
      <c r="D15" s="220"/>
      <c r="E15" s="225"/>
      <c r="F15" s="205"/>
      <c r="G15" s="205"/>
      <c r="H15" s="205"/>
      <c r="I15" s="205"/>
      <c r="J15" s="205"/>
      <c r="K15" s="205"/>
      <c r="L15" s="205"/>
      <c r="M15" s="205"/>
      <c r="N15" s="226"/>
      <c r="O15" s="321" t="str">
        <f t="shared" si="2"/>
        <v/>
      </c>
      <c r="P15" s="320" t="str">
        <f t="shared" si="3"/>
        <v/>
      </c>
      <c r="Q15" s="206"/>
      <c r="R15" s="207" t="str">
        <f t="shared" si="27"/>
        <v/>
      </c>
      <c r="S15" s="207" t="str">
        <f t="shared" si="28"/>
        <v/>
      </c>
      <c r="T15" s="207" t="str">
        <f t="shared" si="29"/>
        <v/>
      </c>
      <c r="U15" s="207" t="str">
        <f t="shared" si="30"/>
        <v/>
      </c>
      <c r="V15" s="207" t="str">
        <f t="shared" si="31"/>
        <v/>
      </c>
      <c r="W15" s="207" t="str">
        <f t="shared" si="32"/>
        <v/>
      </c>
      <c r="X15" s="207" t="str">
        <f t="shared" si="33"/>
        <v/>
      </c>
      <c r="Y15" s="207" t="str">
        <f t="shared" si="34"/>
        <v/>
      </c>
      <c r="Z15" s="207" t="str">
        <f t="shared" si="35"/>
        <v/>
      </c>
      <c r="AA15" s="695" t="str">
        <f t="shared" si="5"/>
        <v/>
      </c>
      <c r="AB15" s="276"/>
      <c r="AD15" s="315">
        <f t="shared" si="36"/>
        <v>0</v>
      </c>
      <c r="AE15" s="315"/>
      <c r="AF15" s="317">
        <f t="shared" si="6"/>
        <v>0</v>
      </c>
      <c r="AG15" s="318">
        <f t="shared" si="7"/>
        <v>0</v>
      </c>
      <c r="AH15" s="318">
        <f t="shared" si="8"/>
        <v>0</v>
      </c>
      <c r="AI15" s="318">
        <f t="shared" si="9"/>
        <v>0</v>
      </c>
      <c r="AJ15" s="318">
        <f t="shared" si="10"/>
        <v>0</v>
      </c>
      <c r="AK15" s="318">
        <f t="shared" si="11"/>
        <v>0</v>
      </c>
      <c r="AL15" s="318">
        <f t="shared" si="12"/>
        <v>0</v>
      </c>
      <c r="AM15" s="318">
        <f t="shared" si="13"/>
        <v>0</v>
      </c>
      <c r="AN15" s="318">
        <f t="shared" si="14"/>
        <v>0</v>
      </c>
      <c r="AO15" s="572">
        <f t="shared" si="15"/>
        <v>0</v>
      </c>
      <c r="AQ15" s="316">
        <f t="array" ref="AQ15">MMULT($AF$6:$AO$6,TRANSPOSE(AF15:AO15))</f>
        <v>0</v>
      </c>
      <c r="AS15" s="317">
        <f t="shared" si="16"/>
        <v>0</v>
      </c>
      <c r="AT15" s="318">
        <f t="shared" si="17"/>
        <v>0</v>
      </c>
      <c r="AU15" s="318">
        <f t="shared" si="18"/>
        <v>0</v>
      </c>
      <c r="AV15" s="318">
        <f t="shared" si="19"/>
        <v>0</v>
      </c>
      <c r="AW15" s="318">
        <f t="shared" si="20"/>
        <v>0</v>
      </c>
      <c r="AX15" s="318">
        <f t="shared" si="21"/>
        <v>0</v>
      </c>
      <c r="AY15" s="318">
        <f t="shared" si="22"/>
        <v>0</v>
      </c>
      <c r="AZ15" s="318">
        <f t="shared" si="23"/>
        <v>0</v>
      </c>
      <c r="BA15" s="318">
        <f t="shared" si="24"/>
        <v>0</v>
      </c>
      <c r="BB15" s="572">
        <f t="shared" si="25"/>
        <v>0</v>
      </c>
      <c r="BC15" s="259"/>
      <c r="BD15" s="316">
        <f t="array" ref="BD15">MMULT($AS$6:$BB$6,TRANSPOSE(AS15:BB15))</f>
        <v>0</v>
      </c>
    </row>
    <row r="16" spans="1:56" ht="15" customHeight="1" x14ac:dyDescent="0.25">
      <c r="B16" s="307">
        <v>8</v>
      </c>
      <c r="C16" s="220"/>
      <c r="D16" s="220"/>
      <c r="E16" s="225"/>
      <c r="F16" s="205"/>
      <c r="G16" s="205"/>
      <c r="H16" s="205"/>
      <c r="I16" s="205"/>
      <c r="J16" s="205"/>
      <c r="K16" s="205"/>
      <c r="L16" s="205"/>
      <c r="M16" s="205"/>
      <c r="N16" s="226"/>
      <c r="O16" s="321" t="str">
        <f t="shared" si="2"/>
        <v/>
      </c>
      <c r="P16" s="320" t="str">
        <f t="shared" si="3"/>
        <v/>
      </c>
      <c r="Q16" s="206" t="str">
        <f t="shared" si="26"/>
        <v/>
      </c>
      <c r="R16" s="207" t="str">
        <f t="shared" si="27"/>
        <v/>
      </c>
      <c r="S16" s="207" t="str">
        <f t="shared" si="28"/>
        <v/>
      </c>
      <c r="T16" s="207" t="str">
        <f t="shared" si="29"/>
        <v/>
      </c>
      <c r="U16" s="207" t="str">
        <f t="shared" si="30"/>
        <v/>
      </c>
      <c r="V16" s="207" t="str">
        <f t="shared" si="31"/>
        <v/>
      </c>
      <c r="W16" s="207" t="str">
        <f t="shared" si="32"/>
        <v/>
      </c>
      <c r="X16" s="207" t="str">
        <f t="shared" si="33"/>
        <v/>
      </c>
      <c r="Y16" s="207" t="str">
        <f t="shared" si="34"/>
        <v/>
      </c>
      <c r="Z16" s="207" t="str">
        <f t="shared" si="35"/>
        <v/>
      </c>
      <c r="AA16" s="695" t="str">
        <f t="shared" si="5"/>
        <v/>
      </c>
      <c r="AB16" s="276"/>
      <c r="AD16" s="315">
        <f t="shared" si="36"/>
        <v>0</v>
      </c>
      <c r="AE16" s="315"/>
      <c r="AF16" s="317">
        <f t="shared" si="6"/>
        <v>0</v>
      </c>
      <c r="AG16" s="318">
        <f t="shared" si="7"/>
        <v>0</v>
      </c>
      <c r="AH16" s="318">
        <f t="shared" si="8"/>
        <v>0</v>
      </c>
      <c r="AI16" s="318">
        <f t="shared" si="9"/>
        <v>0</v>
      </c>
      <c r="AJ16" s="318">
        <f t="shared" si="10"/>
        <v>0</v>
      </c>
      <c r="AK16" s="318">
        <f t="shared" si="11"/>
        <v>0</v>
      </c>
      <c r="AL16" s="318">
        <f t="shared" si="12"/>
        <v>0</v>
      </c>
      <c r="AM16" s="318">
        <f t="shared" si="13"/>
        <v>0</v>
      </c>
      <c r="AN16" s="318">
        <f t="shared" si="14"/>
        <v>0</v>
      </c>
      <c r="AO16" s="572">
        <f t="shared" si="15"/>
        <v>0</v>
      </c>
      <c r="AQ16" s="316">
        <f t="array" ref="AQ16">MMULT($AF$6:$AO$6,TRANSPOSE(AF16:AO16))</f>
        <v>0</v>
      </c>
      <c r="AS16" s="317">
        <f t="shared" si="16"/>
        <v>0</v>
      </c>
      <c r="AT16" s="318">
        <f t="shared" si="17"/>
        <v>0</v>
      </c>
      <c r="AU16" s="318">
        <f t="shared" si="18"/>
        <v>0</v>
      </c>
      <c r="AV16" s="318">
        <f t="shared" si="19"/>
        <v>0</v>
      </c>
      <c r="AW16" s="318">
        <f t="shared" si="20"/>
        <v>0</v>
      </c>
      <c r="AX16" s="318">
        <f t="shared" si="21"/>
        <v>0</v>
      </c>
      <c r="AY16" s="318">
        <f t="shared" si="22"/>
        <v>0</v>
      </c>
      <c r="AZ16" s="318">
        <f t="shared" si="23"/>
        <v>0</v>
      </c>
      <c r="BA16" s="318">
        <f t="shared" si="24"/>
        <v>0</v>
      </c>
      <c r="BB16" s="572">
        <f t="shared" si="25"/>
        <v>0</v>
      </c>
      <c r="BC16" s="259"/>
      <c r="BD16" s="316">
        <f t="array" ref="BD16">MMULT($AS$6:$BB$6,TRANSPOSE(AS16:BB16))</f>
        <v>0</v>
      </c>
    </row>
    <row r="17" spans="2:56" ht="15" customHeight="1" x14ac:dyDescent="0.25">
      <c r="B17" s="307">
        <v>9</v>
      </c>
      <c r="C17" s="220"/>
      <c r="D17" s="220"/>
      <c r="E17" s="225"/>
      <c r="F17" s="205"/>
      <c r="G17" s="205"/>
      <c r="H17" s="205"/>
      <c r="I17" s="205"/>
      <c r="J17" s="205"/>
      <c r="K17" s="205"/>
      <c r="L17" s="205"/>
      <c r="M17" s="205"/>
      <c r="N17" s="226"/>
      <c r="O17" s="321" t="str">
        <f t="shared" si="2"/>
        <v/>
      </c>
      <c r="P17" s="320" t="str">
        <f t="shared" si="3"/>
        <v/>
      </c>
      <c r="Q17" s="206" t="str">
        <f t="shared" si="26"/>
        <v/>
      </c>
      <c r="R17" s="207" t="str">
        <f t="shared" si="27"/>
        <v/>
      </c>
      <c r="S17" s="207" t="str">
        <f t="shared" si="28"/>
        <v/>
      </c>
      <c r="T17" s="207" t="str">
        <f t="shared" si="29"/>
        <v/>
      </c>
      <c r="U17" s="207" t="str">
        <f t="shared" si="30"/>
        <v/>
      </c>
      <c r="V17" s="207" t="str">
        <f t="shared" si="31"/>
        <v/>
      </c>
      <c r="W17" s="207" t="str">
        <f t="shared" si="32"/>
        <v/>
      </c>
      <c r="X17" s="207" t="str">
        <f t="shared" si="33"/>
        <v/>
      </c>
      <c r="Y17" s="207" t="str">
        <f t="shared" si="34"/>
        <v/>
      </c>
      <c r="Z17" s="207" t="str">
        <f t="shared" si="35"/>
        <v/>
      </c>
      <c r="AA17" s="695" t="str">
        <f t="shared" si="5"/>
        <v/>
      </c>
      <c r="AB17" s="264"/>
      <c r="AD17" s="315">
        <f t="shared" si="36"/>
        <v>0</v>
      </c>
      <c r="AE17" s="315"/>
      <c r="AF17" s="317">
        <f t="shared" si="6"/>
        <v>0</v>
      </c>
      <c r="AG17" s="318">
        <f t="shared" si="7"/>
        <v>0</v>
      </c>
      <c r="AH17" s="318">
        <f t="shared" si="8"/>
        <v>0</v>
      </c>
      <c r="AI17" s="318">
        <f t="shared" si="9"/>
        <v>0</v>
      </c>
      <c r="AJ17" s="318">
        <f t="shared" si="10"/>
        <v>0</v>
      </c>
      <c r="AK17" s="318">
        <f t="shared" si="11"/>
        <v>0</v>
      </c>
      <c r="AL17" s="318">
        <f t="shared" si="12"/>
        <v>0</v>
      </c>
      <c r="AM17" s="318">
        <f t="shared" si="13"/>
        <v>0</v>
      </c>
      <c r="AN17" s="318">
        <f t="shared" si="14"/>
        <v>0</v>
      </c>
      <c r="AO17" s="572">
        <f t="shared" si="15"/>
        <v>0</v>
      </c>
      <c r="AQ17" s="316">
        <f t="array" ref="AQ17">MMULT($AF$6:$AO$6,TRANSPOSE(AF17:AO17))</f>
        <v>0</v>
      </c>
      <c r="AS17" s="317">
        <f t="shared" si="16"/>
        <v>0</v>
      </c>
      <c r="AT17" s="318">
        <f t="shared" si="17"/>
        <v>0</v>
      </c>
      <c r="AU17" s="318">
        <f t="shared" si="18"/>
        <v>0</v>
      </c>
      <c r="AV17" s="318">
        <f t="shared" si="19"/>
        <v>0</v>
      </c>
      <c r="AW17" s="318">
        <f t="shared" si="20"/>
        <v>0</v>
      </c>
      <c r="AX17" s="318">
        <f t="shared" si="21"/>
        <v>0</v>
      </c>
      <c r="AY17" s="318">
        <f t="shared" si="22"/>
        <v>0</v>
      </c>
      <c r="AZ17" s="318">
        <f t="shared" si="23"/>
        <v>0</v>
      </c>
      <c r="BA17" s="318">
        <f t="shared" si="24"/>
        <v>0</v>
      </c>
      <c r="BB17" s="572">
        <f t="shared" si="25"/>
        <v>0</v>
      </c>
      <c r="BC17" s="259"/>
      <c r="BD17" s="316">
        <f t="array" ref="BD17">MMULT($AS$6:$BB$6,TRANSPOSE(AS17:BB17))</f>
        <v>0</v>
      </c>
    </row>
    <row r="18" spans="2:56" ht="15" customHeight="1" x14ac:dyDescent="0.25">
      <c r="B18" s="307">
        <v>10</v>
      </c>
      <c r="C18" s="220"/>
      <c r="D18" s="220"/>
      <c r="E18" s="225"/>
      <c r="F18" s="205"/>
      <c r="G18" s="205"/>
      <c r="H18" s="205"/>
      <c r="I18" s="205"/>
      <c r="J18" s="205"/>
      <c r="K18" s="205"/>
      <c r="L18" s="205"/>
      <c r="M18" s="205"/>
      <c r="N18" s="226"/>
      <c r="O18" s="321" t="str">
        <f t="shared" si="2"/>
        <v/>
      </c>
      <c r="P18" s="320" t="str">
        <f t="shared" si="3"/>
        <v/>
      </c>
      <c r="Q18" s="206" t="str">
        <f>IF($C18="","",IF(E18="","",$C18*E18))</f>
        <v/>
      </c>
      <c r="R18" s="207" t="str">
        <f t="shared" si="27"/>
        <v/>
      </c>
      <c r="S18" s="207" t="str">
        <f t="shared" si="28"/>
        <v/>
      </c>
      <c r="T18" s="207" t="str">
        <f t="shared" si="29"/>
        <v/>
      </c>
      <c r="U18" s="207" t="str">
        <f t="shared" si="30"/>
        <v/>
      </c>
      <c r="V18" s="207" t="str">
        <f t="shared" si="31"/>
        <v/>
      </c>
      <c r="W18" s="207" t="str">
        <f t="shared" si="32"/>
        <v/>
      </c>
      <c r="X18" s="207" t="str">
        <f t="shared" si="33"/>
        <v/>
      </c>
      <c r="Y18" s="207" t="str">
        <f t="shared" si="34"/>
        <v/>
      </c>
      <c r="Z18" s="207" t="str">
        <f t="shared" si="35"/>
        <v/>
      </c>
      <c r="AA18" s="695" t="str">
        <f t="shared" si="5"/>
        <v/>
      </c>
      <c r="AB18" s="264"/>
      <c r="AD18" s="315">
        <f t="shared" si="36"/>
        <v>0</v>
      </c>
      <c r="AE18" s="315"/>
      <c r="AF18" s="317">
        <f t="shared" si="6"/>
        <v>0</v>
      </c>
      <c r="AG18" s="318">
        <f t="shared" si="7"/>
        <v>0</v>
      </c>
      <c r="AH18" s="318">
        <f t="shared" si="8"/>
        <v>0</v>
      </c>
      <c r="AI18" s="318">
        <f t="shared" si="9"/>
        <v>0</v>
      </c>
      <c r="AJ18" s="318">
        <f t="shared" si="10"/>
        <v>0</v>
      </c>
      <c r="AK18" s="318">
        <f t="shared" si="11"/>
        <v>0</v>
      </c>
      <c r="AL18" s="318">
        <f t="shared" si="12"/>
        <v>0</v>
      </c>
      <c r="AM18" s="318">
        <f t="shared" si="13"/>
        <v>0</v>
      </c>
      <c r="AN18" s="318">
        <f t="shared" si="14"/>
        <v>0</v>
      </c>
      <c r="AO18" s="572">
        <f t="shared" si="15"/>
        <v>0</v>
      </c>
      <c r="AQ18" s="316">
        <f t="array" ref="AQ18">MMULT($AF$6:$AO$6,TRANSPOSE(AF18:AO18))</f>
        <v>0</v>
      </c>
      <c r="AS18" s="317">
        <f t="shared" si="16"/>
        <v>0</v>
      </c>
      <c r="AT18" s="318">
        <f t="shared" si="17"/>
        <v>0</v>
      </c>
      <c r="AU18" s="318">
        <f t="shared" si="18"/>
        <v>0</v>
      </c>
      <c r="AV18" s="318">
        <f t="shared" si="19"/>
        <v>0</v>
      </c>
      <c r="AW18" s="318">
        <f t="shared" si="20"/>
        <v>0</v>
      </c>
      <c r="AX18" s="318">
        <f t="shared" si="21"/>
        <v>0</v>
      </c>
      <c r="AY18" s="318">
        <f t="shared" si="22"/>
        <v>0</v>
      </c>
      <c r="AZ18" s="318">
        <f t="shared" si="23"/>
        <v>0</v>
      </c>
      <c r="BA18" s="318">
        <f t="shared" si="24"/>
        <v>0</v>
      </c>
      <c r="BB18" s="572">
        <f t="shared" si="25"/>
        <v>0</v>
      </c>
      <c r="BC18" s="259"/>
      <c r="BD18" s="316">
        <f t="array" ref="BD18">MMULT($AS$6:$BB$6,TRANSPOSE(AS18:BB18))</f>
        <v>0</v>
      </c>
    </row>
    <row r="19" spans="2:56" ht="15" customHeight="1" x14ac:dyDescent="0.25">
      <c r="B19" s="307">
        <v>11</v>
      </c>
      <c r="C19" s="220"/>
      <c r="D19" s="220"/>
      <c r="E19" s="225"/>
      <c r="F19" s="205"/>
      <c r="G19" s="205"/>
      <c r="H19" s="205"/>
      <c r="I19" s="205"/>
      <c r="J19" s="205"/>
      <c r="K19" s="205"/>
      <c r="L19" s="205"/>
      <c r="M19" s="205"/>
      <c r="N19" s="226"/>
      <c r="O19" s="321" t="str">
        <f t="shared" si="2"/>
        <v/>
      </c>
      <c r="P19" s="320" t="str">
        <f t="shared" si="3"/>
        <v/>
      </c>
      <c r="Q19" s="206" t="str">
        <f t="shared" si="26"/>
        <v/>
      </c>
      <c r="R19" s="207" t="str">
        <f t="shared" si="27"/>
        <v/>
      </c>
      <c r="S19" s="207" t="str">
        <f t="shared" si="28"/>
        <v/>
      </c>
      <c r="T19" s="207" t="str">
        <f t="shared" si="29"/>
        <v/>
      </c>
      <c r="U19" s="207" t="str">
        <f t="shared" si="30"/>
        <v/>
      </c>
      <c r="V19" s="207" t="str">
        <f t="shared" si="31"/>
        <v/>
      </c>
      <c r="W19" s="207" t="str">
        <f t="shared" si="32"/>
        <v/>
      </c>
      <c r="X19" s="207" t="str">
        <f t="shared" si="33"/>
        <v/>
      </c>
      <c r="Y19" s="207" t="str">
        <f t="shared" si="34"/>
        <v/>
      </c>
      <c r="Z19" s="207" t="str">
        <f t="shared" si="35"/>
        <v/>
      </c>
      <c r="AA19" s="695" t="str">
        <f t="shared" si="5"/>
        <v/>
      </c>
      <c r="AB19" s="264"/>
      <c r="AD19" s="315">
        <f t="shared" si="36"/>
        <v>0</v>
      </c>
      <c r="AE19" s="315"/>
      <c r="AF19" s="317">
        <f t="shared" si="6"/>
        <v>0</v>
      </c>
      <c r="AG19" s="318">
        <f t="shared" si="7"/>
        <v>0</v>
      </c>
      <c r="AH19" s="318">
        <f t="shared" si="8"/>
        <v>0</v>
      </c>
      <c r="AI19" s="318">
        <f t="shared" si="9"/>
        <v>0</v>
      </c>
      <c r="AJ19" s="318">
        <f t="shared" si="10"/>
        <v>0</v>
      </c>
      <c r="AK19" s="318">
        <f t="shared" si="11"/>
        <v>0</v>
      </c>
      <c r="AL19" s="318">
        <f t="shared" si="12"/>
        <v>0</v>
      </c>
      <c r="AM19" s="318">
        <f t="shared" si="13"/>
        <v>0</v>
      </c>
      <c r="AN19" s="318">
        <f t="shared" si="14"/>
        <v>0</v>
      </c>
      <c r="AO19" s="572">
        <f t="shared" si="15"/>
        <v>0</v>
      </c>
      <c r="AQ19" s="316">
        <f t="array" ref="AQ19">MMULT($AF$6:$AO$6,TRANSPOSE(AF19:AO19))</f>
        <v>0</v>
      </c>
      <c r="AS19" s="317">
        <f t="shared" si="16"/>
        <v>0</v>
      </c>
      <c r="AT19" s="318">
        <f t="shared" si="17"/>
        <v>0</v>
      </c>
      <c r="AU19" s="318">
        <f t="shared" si="18"/>
        <v>0</v>
      </c>
      <c r="AV19" s="318">
        <f t="shared" si="19"/>
        <v>0</v>
      </c>
      <c r="AW19" s="318">
        <f t="shared" si="20"/>
        <v>0</v>
      </c>
      <c r="AX19" s="318">
        <f t="shared" si="21"/>
        <v>0</v>
      </c>
      <c r="AY19" s="318">
        <f t="shared" si="22"/>
        <v>0</v>
      </c>
      <c r="AZ19" s="318">
        <f t="shared" si="23"/>
        <v>0</v>
      </c>
      <c r="BA19" s="318">
        <f t="shared" si="24"/>
        <v>0</v>
      </c>
      <c r="BB19" s="572">
        <f t="shared" si="25"/>
        <v>0</v>
      </c>
      <c r="BC19" s="259"/>
      <c r="BD19" s="316">
        <f t="array" ref="BD19">MMULT($AS$6:$BB$6,TRANSPOSE(AS19:BB19))</f>
        <v>0</v>
      </c>
    </row>
    <row r="20" spans="2:56" ht="15" customHeight="1" x14ac:dyDescent="0.25">
      <c r="B20" s="307">
        <v>12</v>
      </c>
      <c r="C20" s="220"/>
      <c r="D20" s="220"/>
      <c r="E20" s="225"/>
      <c r="F20" s="205"/>
      <c r="G20" s="205"/>
      <c r="H20" s="205"/>
      <c r="I20" s="205"/>
      <c r="J20" s="205"/>
      <c r="K20" s="205"/>
      <c r="L20" s="205"/>
      <c r="M20" s="205"/>
      <c r="N20" s="226"/>
      <c r="O20" s="321" t="str">
        <f t="shared" si="2"/>
        <v/>
      </c>
      <c r="P20" s="320" t="str">
        <f t="shared" si="3"/>
        <v/>
      </c>
      <c r="Q20" s="206" t="str">
        <f t="shared" si="26"/>
        <v/>
      </c>
      <c r="R20" s="207" t="str">
        <f t="shared" si="27"/>
        <v/>
      </c>
      <c r="S20" s="207" t="str">
        <f t="shared" si="28"/>
        <v/>
      </c>
      <c r="T20" s="207" t="str">
        <f t="shared" si="29"/>
        <v/>
      </c>
      <c r="U20" s="207" t="str">
        <f t="shared" si="30"/>
        <v/>
      </c>
      <c r="V20" s="207" t="str">
        <f t="shared" si="31"/>
        <v/>
      </c>
      <c r="W20" s="207" t="str">
        <f t="shared" si="32"/>
        <v/>
      </c>
      <c r="X20" s="207" t="str">
        <f t="shared" si="33"/>
        <v/>
      </c>
      <c r="Y20" s="207" t="str">
        <f t="shared" si="34"/>
        <v/>
      </c>
      <c r="Z20" s="207" t="str">
        <f t="shared" si="35"/>
        <v/>
      </c>
      <c r="AA20" s="695" t="str">
        <f t="shared" si="5"/>
        <v/>
      </c>
      <c r="AB20" s="264"/>
      <c r="AD20" s="315">
        <f t="shared" si="36"/>
        <v>0</v>
      </c>
      <c r="AE20" s="315"/>
      <c r="AF20" s="317">
        <f t="shared" si="6"/>
        <v>0</v>
      </c>
      <c r="AG20" s="318">
        <f t="shared" si="7"/>
        <v>0</v>
      </c>
      <c r="AH20" s="318">
        <f t="shared" si="8"/>
        <v>0</v>
      </c>
      <c r="AI20" s="318">
        <f t="shared" si="9"/>
        <v>0</v>
      </c>
      <c r="AJ20" s="318">
        <f t="shared" si="10"/>
        <v>0</v>
      </c>
      <c r="AK20" s="318">
        <f t="shared" si="11"/>
        <v>0</v>
      </c>
      <c r="AL20" s="318">
        <f t="shared" si="12"/>
        <v>0</v>
      </c>
      <c r="AM20" s="318">
        <f t="shared" si="13"/>
        <v>0</v>
      </c>
      <c r="AN20" s="318">
        <f t="shared" si="14"/>
        <v>0</v>
      </c>
      <c r="AO20" s="572">
        <f t="shared" si="15"/>
        <v>0</v>
      </c>
      <c r="AQ20" s="316">
        <f t="array" ref="AQ20">MMULT($AF$6:$AO$6,TRANSPOSE(AF20:AO20))</f>
        <v>0</v>
      </c>
      <c r="AS20" s="317">
        <f t="shared" si="16"/>
        <v>0</v>
      </c>
      <c r="AT20" s="318">
        <f t="shared" si="17"/>
        <v>0</v>
      </c>
      <c r="AU20" s="318">
        <f t="shared" si="18"/>
        <v>0</v>
      </c>
      <c r="AV20" s="318">
        <f t="shared" si="19"/>
        <v>0</v>
      </c>
      <c r="AW20" s="318">
        <f t="shared" si="20"/>
        <v>0</v>
      </c>
      <c r="AX20" s="318">
        <f t="shared" si="21"/>
        <v>0</v>
      </c>
      <c r="AY20" s="318">
        <f t="shared" si="22"/>
        <v>0</v>
      </c>
      <c r="AZ20" s="318">
        <f t="shared" si="23"/>
        <v>0</v>
      </c>
      <c r="BA20" s="318">
        <f t="shared" si="24"/>
        <v>0</v>
      </c>
      <c r="BB20" s="572">
        <f t="shared" si="25"/>
        <v>0</v>
      </c>
      <c r="BC20" s="259"/>
      <c r="BD20" s="316">
        <f t="array" ref="BD20">MMULT($AS$6:$BB$6,TRANSPOSE(AS20:BB20))</f>
        <v>0</v>
      </c>
    </row>
    <row r="21" spans="2:56" ht="15" customHeight="1" x14ac:dyDescent="0.25">
      <c r="B21" s="307">
        <v>13</v>
      </c>
      <c r="C21" s="220"/>
      <c r="D21" s="220"/>
      <c r="E21" s="225"/>
      <c r="F21" s="205"/>
      <c r="G21" s="205"/>
      <c r="H21" s="205"/>
      <c r="I21" s="205"/>
      <c r="J21" s="205"/>
      <c r="K21" s="205"/>
      <c r="L21" s="205"/>
      <c r="M21" s="205"/>
      <c r="N21" s="226"/>
      <c r="O21" s="321" t="str">
        <f t="shared" si="2"/>
        <v/>
      </c>
      <c r="P21" s="320" t="str">
        <f t="shared" si="3"/>
        <v/>
      </c>
      <c r="Q21" s="206" t="str">
        <f t="shared" si="26"/>
        <v/>
      </c>
      <c r="R21" s="207" t="str">
        <f t="shared" si="27"/>
        <v/>
      </c>
      <c r="S21" s="207" t="str">
        <f t="shared" si="28"/>
        <v/>
      </c>
      <c r="T21" s="207" t="str">
        <f t="shared" si="29"/>
        <v/>
      </c>
      <c r="U21" s="207" t="str">
        <f t="shared" si="30"/>
        <v/>
      </c>
      <c r="V21" s="207" t="str">
        <f t="shared" si="31"/>
        <v/>
      </c>
      <c r="W21" s="207" t="str">
        <f t="shared" si="32"/>
        <v/>
      </c>
      <c r="X21" s="207" t="str">
        <f t="shared" si="33"/>
        <v/>
      </c>
      <c r="Y21" s="207" t="str">
        <f t="shared" si="34"/>
        <v/>
      </c>
      <c r="Z21" s="207" t="str">
        <f t="shared" si="35"/>
        <v/>
      </c>
      <c r="AA21" s="695" t="str">
        <f t="shared" si="5"/>
        <v/>
      </c>
      <c r="AB21" s="264"/>
      <c r="AD21" s="315">
        <f t="shared" si="36"/>
        <v>0</v>
      </c>
      <c r="AE21" s="315"/>
      <c r="AF21" s="317">
        <f t="shared" si="6"/>
        <v>0</v>
      </c>
      <c r="AG21" s="318">
        <f t="shared" si="7"/>
        <v>0</v>
      </c>
      <c r="AH21" s="318">
        <f t="shared" si="8"/>
        <v>0</v>
      </c>
      <c r="AI21" s="318">
        <f t="shared" si="9"/>
        <v>0</v>
      </c>
      <c r="AJ21" s="318">
        <f t="shared" si="10"/>
        <v>0</v>
      </c>
      <c r="AK21" s="318">
        <f t="shared" si="11"/>
        <v>0</v>
      </c>
      <c r="AL21" s="318">
        <f t="shared" si="12"/>
        <v>0</v>
      </c>
      <c r="AM21" s="318">
        <f t="shared" si="13"/>
        <v>0</v>
      </c>
      <c r="AN21" s="318">
        <f t="shared" si="14"/>
        <v>0</v>
      </c>
      <c r="AO21" s="572">
        <f t="shared" si="15"/>
        <v>0</v>
      </c>
      <c r="AQ21" s="316">
        <f t="array" ref="AQ21">MMULT($AF$6:$AO$6,TRANSPOSE(AF21:AO21))</f>
        <v>0</v>
      </c>
      <c r="AS21" s="317">
        <f t="shared" si="16"/>
        <v>0</v>
      </c>
      <c r="AT21" s="318">
        <f t="shared" si="17"/>
        <v>0</v>
      </c>
      <c r="AU21" s="318">
        <f t="shared" si="18"/>
        <v>0</v>
      </c>
      <c r="AV21" s="318">
        <f t="shared" si="19"/>
        <v>0</v>
      </c>
      <c r="AW21" s="318">
        <f t="shared" si="20"/>
        <v>0</v>
      </c>
      <c r="AX21" s="318">
        <f t="shared" si="21"/>
        <v>0</v>
      </c>
      <c r="AY21" s="318">
        <f t="shared" si="22"/>
        <v>0</v>
      </c>
      <c r="AZ21" s="318">
        <f t="shared" si="23"/>
        <v>0</v>
      </c>
      <c r="BA21" s="318">
        <f t="shared" si="24"/>
        <v>0</v>
      </c>
      <c r="BB21" s="572">
        <f t="shared" si="25"/>
        <v>0</v>
      </c>
      <c r="BC21" s="259"/>
      <c r="BD21" s="316">
        <f t="array" ref="BD21">MMULT($AS$6:$BB$6,TRANSPOSE(AS21:BB21))</f>
        <v>0</v>
      </c>
    </row>
    <row r="22" spans="2:56" ht="15" customHeight="1" x14ac:dyDescent="0.25">
      <c r="B22" s="307">
        <v>14</v>
      </c>
      <c r="C22" s="220"/>
      <c r="D22" s="220"/>
      <c r="E22" s="225"/>
      <c r="F22" s="205"/>
      <c r="G22" s="205"/>
      <c r="H22" s="205"/>
      <c r="I22" s="205"/>
      <c r="J22" s="205"/>
      <c r="K22" s="205"/>
      <c r="L22" s="205"/>
      <c r="M22" s="205"/>
      <c r="N22" s="226"/>
      <c r="O22" s="321" t="str">
        <f t="shared" si="2"/>
        <v/>
      </c>
      <c r="P22" s="320" t="str">
        <f t="shared" si="3"/>
        <v/>
      </c>
      <c r="Q22" s="206" t="str">
        <f t="shared" si="26"/>
        <v/>
      </c>
      <c r="R22" s="207" t="str">
        <f t="shared" si="27"/>
        <v/>
      </c>
      <c r="S22" s="207" t="str">
        <f t="shared" si="28"/>
        <v/>
      </c>
      <c r="T22" s="207" t="str">
        <f t="shared" si="29"/>
        <v/>
      </c>
      <c r="U22" s="207" t="str">
        <f t="shared" si="30"/>
        <v/>
      </c>
      <c r="V22" s="207" t="str">
        <f t="shared" si="31"/>
        <v/>
      </c>
      <c r="W22" s="207" t="str">
        <f t="shared" si="32"/>
        <v/>
      </c>
      <c r="X22" s="207" t="str">
        <f t="shared" si="33"/>
        <v/>
      </c>
      <c r="Y22" s="207" t="str">
        <f t="shared" si="34"/>
        <v/>
      </c>
      <c r="Z22" s="207" t="str">
        <f t="shared" si="35"/>
        <v/>
      </c>
      <c r="AA22" s="695" t="str">
        <f t="shared" si="5"/>
        <v/>
      </c>
      <c r="AB22" s="264"/>
      <c r="AD22" s="315">
        <f t="shared" si="36"/>
        <v>0</v>
      </c>
      <c r="AE22" s="315"/>
      <c r="AF22" s="317">
        <f t="shared" si="6"/>
        <v>0</v>
      </c>
      <c r="AG22" s="318">
        <f t="shared" si="7"/>
        <v>0</v>
      </c>
      <c r="AH22" s="318">
        <f t="shared" si="8"/>
        <v>0</v>
      </c>
      <c r="AI22" s="318">
        <f t="shared" si="9"/>
        <v>0</v>
      </c>
      <c r="AJ22" s="318">
        <f t="shared" si="10"/>
        <v>0</v>
      </c>
      <c r="AK22" s="318">
        <f t="shared" si="11"/>
        <v>0</v>
      </c>
      <c r="AL22" s="318">
        <f t="shared" si="12"/>
        <v>0</v>
      </c>
      <c r="AM22" s="318">
        <f t="shared" si="13"/>
        <v>0</v>
      </c>
      <c r="AN22" s="318">
        <f t="shared" si="14"/>
        <v>0</v>
      </c>
      <c r="AO22" s="572">
        <f t="shared" si="15"/>
        <v>0</v>
      </c>
      <c r="AQ22" s="316">
        <f t="array" ref="AQ22">MMULT($AF$6:$AO$6,TRANSPOSE(AF22:AO22))</f>
        <v>0</v>
      </c>
      <c r="AS22" s="317">
        <f t="shared" si="16"/>
        <v>0</v>
      </c>
      <c r="AT22" s="318">
        <f t="shared" si="17"/>
        <v>0</v>
      </c>
      <c r="AU22" s="318">
        <f t="shared" si="18"/>
        <v>0</v>
      </c>
      <c r="AV22" s="318">
        <f t="shared" si="19"/>
        <v>0</v>
      </c>
      <c r="AW22" s="318">
        <f t="shared" si="20"/>
        <v>0</v>
      </c>
      <c r="AX22" s="318">
        <f t="shared" si="21"/>
        <v>0</v>
      </c>
      <c r="AY22" s="318">
        <f t="shared" si="22"/>
        <v>0</v>
      </c>
      <c r="AZ22" s="318">
        <f t="shared" si="23"/>
        <v>0</v>
      </c>
      <c r="BA22" s="318">
        <f t="shared" si="24"/>
        <v>0</v>
      </c>
      <c r="BB22" s="572">
        <f t="shared" si="25"/>
        <v>0</v>
      </c>
      <c r="BC22" s="259"/>
      <c r="BD22" s="316">
        <f t="array" ref="BD22">MMULT($AS$6:$BB$6,TRANSPOSE(AS22:BB22))</f>
        <v>0</v>
      </c>
    </row>
    <row r="23" spans="2:56" ht="15" customHeight="1" thickBot="1" x14ac:dyDescent="0.3">
      <c r="B23" s="308">
        <v>15</v>
      </c>
      <c r="C23" s="221"/>
      <c r="D23" s="221"/>
      <c r="E23" s="227"/>
      <c r="F23" s="228"/>
      <c r="G23" s="228"/>
      <c r="H23" s="228"/>
      <c r="I23" s="228"/>
      <c r="J23" s="228"/>
      <c r="K23" s="228"/>
      <c r="L23" s="228"/>
      <c r="M23" s="228"/>
      <c r="N23" s="229"/>
      <c r="O23" s="322" t="str">
        <f t="shared" si="2"/>
        <v/>
      </c>
      <c r="P23" s="320" t="str">
        <f t="shared" si="3"/>
        <v/>
      </c>
      <c r="Q23" s="206" t="str">
        <f t="shared" si="26"/>
        <v/>
      </c>
      <c r="R23" s="207" t="str">
        <f t="shared" si="27"/>
        <v/>
      </c>
      <c r="S23" s="207" t="str">
        <f t="shared" si="28"/>
        <v/>
      </c>
      <c r="T23" s="207" t="str">
        <f t="shared" si="29"/>
        <v/>
      </c>
      <c r="U23" s="207" t="str">
        <f t="shared" si="30"/>
        <v/>
      </c>
      <c r="V23" s="207" t="str">
        <f t="shared" si="31"/>
        <v/>
      </c>
      <c r="W23" s="207" t="str">
        <f t="shared" si="32"/>
        <v/>
      </c>
      <c r="X23" s="207" t="str">
        <f t="shared" si="33"/>
        <v/>
      </c>
      <c r="Y23" s="207" t="str">
        <f t="shared" si="34"/>
        <v/>
      </c>
      <c r="Z23" s="207" t="str">
        <f t="shared" si="35"/>
        <v/>
      </c>
      <c r="AA23" s="696" t="str">
        <f t="shared" si="5"/>
        <v/>
      </c>
      <c r="AB23" s="264"/>
      <c r="AD23" s="315">
        <f t="shared" si="36"/>
        <v>0</v>
      </c>
      <c r="AE23" s="315"/>
      <c r="AF23" s="573">
        <f t="shared" si="6"/>
        <v>0</v>
      </c>
      <c r="AG23" s="574">
        <f t="shared" si="7"/>
        <v>0</v>
      </c>
      <c r="AH23" s="574">
        <f t="shared" si="8"/>
        <v>0</v>
      </c>
      <c r="AI23" s="574">
        <f t="shared" si="9"/>
        <v>0</v>
      </c>
      <c r="AJ23" s="574">
        <f t="shared" si="10"/>
        <v>0</v>
      </c>
      <c r="AK23" s="574">
        <f t="shared" si="11"/>
        <v>0</v>
      </c>
      <c r="AL23" s="574">
        <f t="shared" si="12"/>
        <v>0</v>
      </c>
      <c r="AM23" s="574">
        <f t="shared" si="13"/>
        <v>0</v>
      </c>
      <c r="AN23" s="574">
        <f t="shared" si="14"/>
        <v>0</v>
      </c>
      <c r="AO23" s="575">
        <f t="shared" si="15"/>
        <v>0</v>
      </c>
      <c r="AQ23" s="316">
        <f t="array" ref="AQ23">MMULT($AF$6:$AO$6,TRANSPOSE(AF23:AO23))</f>
        <v>0</v>
      </c>
      <c r="AS23" s="573">
        <f t="shared" si="16"/>
        <v>0</v>
      </c>
      <c r="AT23" s="574">
        <f t="shared" si="17"/>
        <v>0</v>
      </c>
      <c r="AU23" s="574">
        <f t="shared" si="18"/>
        <v>0</v>
      </c>
      <c r="AV23" s="574">
        <f t="shared" si="19"/>
        <v>0</v>
      </c>
      <c r="AW23" s="574">
        <f t="shared" si="20"/>
        <v>0</v>
      </c>
      <c r="AX23" s="574">
        <f t="shared" si="21"/>
        <v>0</v>
      </c>
      <c r="AY23" s="574">
        <f t="shared" si="22"/>
        <v>0</v>
      </c>
      <c r="AZ23" s="574">
        <f t="shared" si="23"/>
        <v>0</v>
      </c>
      <c r="BA23" s="574">
        <f t="shared" si="24"/>
        <v>0</v>
      </c>
      <c r="BB23" s="575">
        <f t="shared" si="25"/>
        <v>0</v>
      </c>
      <c r="BC23" s="259"/>
      <c r="BD23" s="316">
        <f t="array" ref="BD23">MMULT($AS$6:$BB$6,TRANSPOSE(AS23:BB23))</f>
        <v>0</v>
      </c>
    </row>
    <row r="24" spans="2:56" ht="15" customHeight="1" thickBot="1" x14ac:dyDescent="0.3">
      <c r="B24" s="263"/>
      <c r="C24" s="310">
        <f>IF(COUNT(C8:C23)=0,"",SUM(C8:C23))</f>
        <v>1</v>
      </c>
      <c r="D24" s="311" t="str">
        <f>IF(COUNT(C8:C23)=0,"",IF(ABS(C24-1)&lt;tol_Pr,"","**Warning: P(X) must sum to one**"))</f>
        <v/>
      </c>
      <c r="E24" s="277"/>
      <c r="F24" s="277"/>
      <c r="G24" s="277"/>
      <c r="H24" s="277"/>
      <c r="I24" s="277"/>
      <c r="J24" s="277"/>
      <c r="K24" s="277"/>
      <c r="L24" s="277"/>
      <c r="M24" s="312"/>
      <c r="N24" s="337"/>
      <c r="O24" s="337"/>
      <c r="P24" s="283" t="str">
        <f>IF(Q24="",""," P(C) = ")</f>
        <v xml:space="preserve"> P(C) = </v>
      </c>
      <c r="Q24" s="691">
        <f>IF(Q8="","",SUM(Q8:Q23))</f>
        <v>0.16273496500000001</v>
      </c>
      <c r="R24" s="692">
        <f t="shared" ref="R24:Y24" si="37">IF(R8="","",SUM(R8:R23))</f>
        <v>0.32474004499999998</v>
      </c>
      <c r="S24" s="692">
        <f t="shared" si="37"/>
        <v>0.23712867900000004</v>
      </c>
      <c r="T24" s="692">
        <f t="shared" si="37"/>
        <v>0.275396311</v>
      </c>
      <c r="U24" s="692" t="str">
        <f t="shared" si="37"/>
        <v/>
      </c>
      <c r="V24" s="692" t="str">
        <f t="shared" si="37"/>
        <v/>
      </c>
      <c r="W24" s="692" t="str">
        <f t="shared" si="37"/>
        <v/>
      </c>
      <c r="X24" s="692" t="str">
        <f t="shared" si="37"/>
        <v/>
      </c>
      <c r="Y24" s="692" t="str">
        <f t="shared" si="37"/>
        <v/>
      </c>
      <c r="Z24" s="693" t="str">
        <f>IF(Z8="","",SUM(Z8:Z23))</f>
        <v/>
      </c>
      <c r="AA24" s="203">
        <f>SUM(Q8:Z23)</f>
        <v>1.0000000000000002</v>
      </c>
      <c r="AB24" s="264"/>
      <c r="AD24" s="279"/>
      <c r="AE24" s="279"/>
      <c r="AF24" s="279"/>
      <c r="AG24" s="279"/>
      <c r="AH24" s="279"/>
      <c r="AI24" s="279"/>
      <c r="AJ24" s="279"/>
      <c r="AK24" s="279"/>
      <c r="AL24" s="279"/>
      <c r="AM24" s="279"/>
      <c r="AO24" s="259"/>
      <c r="AS24" s="259"/>
      <c r="AT24" s="259"/>
      <c r="AU24" s="259"/>
      <c r="AV24" s="259"/>
      <c r="AW24" s="259"/>
      <c r="AX24" s="259"/>
      <c r="AY24" s="259"/>
      <c r="AZ24" s="259"/>
      <c r="BA24" s="259"/>
      <c r="BB24" s="259"/>
      <c r="BC24" s="259"/>
      <c r="BD24" s="259"/>
    </row>
    <row r="25" spans="2:56" ht="15" customHeight="1" x14ac:dyDescent="0.25">
      <c r="B25" s="265"/>
      <c r="C25" s="277"/>
      <c r="D25" s="313"/>
      <c r="E25" s="277"/>
      <c r="F25" s="277"/>
      <c r="G25" s="277"/>
      <c r="H25" s="277"/>
      <c r="I25" s="277"/>
      <c r="J25" s="277"/>
      <c r="K25" s="277"/>
      <c r="L25" s="277"/>
      <c r="M25" s="277"/>
      <c r="N25" s="277"/>
      <c r="O25" s="277"/>
      <c r="P25" s="277"/>
      <c r="Q25" s="277"/>
      <c r="R25" s="277"/>
      <c r="S25" s="277"/>
      <c r="T25" s="250"/>
      <c r="U25" s="250"/>
      <c r="V25" s="250"/>
      <c r="W25" s="250"/>
      <c r="X25" s="250"/>
      <c r="Y25" s="250"/>
      <c r="Z25" s="250"/>
      <c r="AA25" s="721"/>
      <c r="AB25" s="264"/>
      <c r="AG25" s="279"/>
      <c r="AH25" s="279"/>
      <c r="AI25" s="279"/>
      <c r="AJ25" s="279"/>
      <c r="AK25" s="279"/>
      <c r="AL25" s="279"/>
      <c r="AM25" s="279"/>
      <c r="AN25" s="279"/>
      <c r="AO25" s="279"/>
      <c r="AP25" s="279"/>
      <c r="AR25" s="259"/>
    </row>
    <row r="26" spans="2:56" ht="15" customHeight="1" x14ac:dyDescent="0.25">
      <c r="B26" s="265"/>
      <c r="C26" s="277"/>
      <c r="D26" s="313"/>
      <c r="E26" s="277"/>
      <c r="F26" s="277"/>
      <c r="G26" s="277"/>
      <c r="H26" s="277"/>
      <c r="I26" s="277"/>
      <c r="J26" s="277"/>
      <c r="K26" s="277"/>
      <c r="L26" s="277"/>
      <c r="M26" s="277"/>
      <c r="N26" s="277"/>
      <c r="O26" s="277"/>
      <c r="P26" s="277"/>
      <c r="Q26" s="277"/>
      <c r="R26" s="277"/>
      <c r="S26" s="277"/>
      <c r="T26" s="250"/>
      <c r="U26" s="250"/>
      <c r="V26" s="250"/>
      <c r="W26" s="250"/>
      <c r="X26" s="250"/>
      <c r="Y26" s="250"/>
      <c r="Z26" s="250"/>
      <c r="AA26" s="250"/>
      <c r="AB26" s="264"/>
      <c r="AG26" s="279"/>
      <c r="AH26" s="279"/>
      <c r="AI26" s="279"/>
      <c r="AJ26" s="279"/>
      <c r="AK26" s="279"/>
      <c r="AL26" s="279"/>
      <c r="AM26" s="279"/>
      <c r="AN26" s="279"/>
      <c r="AO26" s="279"/>
      <c r="AP26" s="279"/>
      <c r="AR26" s="259"/>
    </row>
    <row r="27" spans="2:56" ht="15" hidden="1" customHeight="1" x14ac:dyDescent="0.25">
      <c r="B27" s="265"/>
      <c r="C27" s="277"/>
      <c r="D27" s="313"/>
      <c r="E27" s="277"/>
      <c r="F27" s="277"/>
      <c r="G27" s="277"/>
      <c r="H27" s="277"/>
      <c r="I27" s="277"/>
      <c r="J27" s="277"/>
      <c r="K27" s="277"/>
      <c r="L27" s="277"/>
      <c r="M27" s="277"/>
      <c r="N27" s="277"/>
      <c r="O27" s="277"/>
      <c r="P27" s="277"/>
      <c r="Q27" s="277"/>
      <c r="R27" s="277"/>
      <c r="S27" s="277"/>
      <c r="T27" s="250"/>
      <c r="U27" s="250"/>
      <c r="V27" s="250"/>
      <c r="W27" s="250"/>
      <c r="X27" s="250"/>
      <c r="Y27" s="250"/>
      <c r="Z27" s="250"/>
      <c r="AA27" s="250"/>
      <c r="AB27" s="264"/>
      <c r="AG27" s="279"/>
      <c r="AH27" s="279"/>
      <c r="AI27" s="279"/>
      <c r="AJ27" s="279"/>
      <c r="AK27" s="279"/>
      <c r="AL27" s="279"/>
      <c r="AM27" s="279"/>
      <c r="AN27" s="279"/>
      <c r="AO27" s="279"/>
      <c r="AP27" s="279"/>
      <c r="AR27" s="259"/>
    </row>
    <row r="28" spans="2:56" ht="15" hidden="1" customHeight="1" thickBot="1" x14ac:dyDescent="0.3">
      <c r="B28" s="265"/>
      <c r="C28" s="277"/>
      <c r="D28" s="313"/>
      <c r="E28" s="277"/>
      <c r="F28" s="277"/>
      <c r="G28" s="277"/>
      <c r="H28" s="277"/>
      <c r="I28" s="277"/>
      <c r="J28" s="277"/>
      <c r="K28" s="277"/>
      <c r="L28" s="277"/>
      <c r="M28" s="277"/>
      <c r="N28" s="277"/>
      <c r="O28" s="277"/>
      <c r="P28" s="277"/>
      <c r="Q28" s="277"/>
      <c r="R28" s="277"/>
      <c r="S28" s="277"/>
      <c r="T28" s="277"/>
      <c r="U28" s="250"/>
      <c r="V28" s="250"/>
      <c r="W28" s="250"/>
      <c r="X28" s="250"/>
      <c r="Y28" s="250"/>
      <c r="Z28" s="250"/>
      <c r="AA28" s="250"/>
      <c r="AB28" s="264"/>
      <c r="AG28" s="279"/>
      <c r="AH28" s="279"/>
      <c r="AI28" s="279"/>
      <c r="AJ28" s="279"/>
      <c r="AK28" s="279"/>
      <c r="AL28" s="279"/>
      <c r="AM28" s="279"/>
      <c r="AN28" s="279"/>
      <c r="AO28" s="279"/>
      <c r="AP28" s="279"/>
      <c r="AR28" s="259"/>
    </row>
    <row r="29" spans="2:56" ht="19.5" hidden="1" thickBot="1" x14ac:dyDescent="0.3">
      <c r="B29" s="271"/>
      <c r="C29" s="788" t="str">
        <f>IF(COUNTIF(C33:C47,"&gt;0")=COUNTIF(O9:O23,"&gt;0"),"","**Warning: mismatch in levels of RR_Obs &amp; P(C|X)**")</f>
        <v/>
      </c>
      <c r="D29" s="278"/>
      <c r="E29" s="278"/>
      <c r="F29" s="278"/>
      <c r="G29" s="250"/>
      <c r="H29" s="277"/>
      <c r="I29" s="277"/>
      <c r="J29" s="919" t="s">
        <v>63</v>
      </c>
      <c r="K29" s="920"/>
      <c r="L29" s="920"/>
      <c r="M29" s="920"/>
      <c r="N29" s="921"/>
      <c r="O29" s="586" t="s">
        <v>65</v>
      </c>
      <c r="P29" s="250"/>
      <c r="Q29" s="272"/>
      <c r="R29" s="272"/>
      <c r="S29" s="272"/>
      <c r="T29" s="272"/>
      <c r="U29" s="272"/>
      <c r="V29" s="272"/>
      <c r="W29" s="250"/>
      <c r="X29" s="250"/>
      <c r="Y29" s="250"/>
      <c r="Z29" s="250"/>
      <c r="AA29" s="250"/>
      <c r="AB29" s="264"/>
    </row>
    <row r="30" spans="2:56" ht="19.5" hidden="1" thickBot="1" x14ac:dyDescent="0.3">
      <c r="B30" s="912" t="s">
        <v>180</v>
      </c>
      <c r="C30" s="913"/>
      <c r="D30" s="913"/>
      <c r="E30" s="913"/>
      <c r="F30" s="914"/>
      <c r="G30" s="257"/>
      <c r="H30" s="277"/>
      <c r="I30" s="725"/>
      <c r="J30" s="689">
        <v>0.1</v>
      </c>
      <c r="K30" s="742">
        <v>0.2</v>
      </c>
      <c r="L30" s="689">
        <v>0.4</v>
      </c>
      <c r="M30" s="742">
        <v>0.2</v>
      </c>
      <c r="N30" s="689">
        <v>0.1</v>
      </c>
      <c r="O30" s="688">
        <f>SUMIF(J30:N30,"&gt;0")</f>
        <v>1.0000000000000002</v>
      </c>
      <c r="P30" s="587"/>
      <c r="Q30" s="266"/>
      <c r="R30" s="266"/>
      <c r="S30" s="266"/>
      <c r="T30" s="266"/>
      <c r="U30" s="266"/>
      <c r="V30" s="266"/>
      <c r="W30" s="272"/>
      <c r="X30" s="250"/>
      <c r="Y30" s="250"/>
      <c r="Z30" s="250"/>
      <c r="AA30" s="250"/>
      <c r="AB30" s="264"/>
    </row>
    <row r="31" spans="2:56" ht="16.5" hidden="1" thickBot="1" x14ac:dyDescent="0.3">
      <c r="B31" s="302" t="s">
        <v>176</v>
      </c>
      <c r="C31" s="302" t="s">
        <v>15</v>
      </c>
      <c r="D31" s="302" t="s">
        <v>92</v>
      </c>
      <c r="E31" s="302" t="s">
        <v>19</v>
      </c>
      <c r="F31" s="302" t="s">
        <v>178</v>
      </c>
      <c r="G31" s="725"/>
      <c r="H31" s="277"/>
      <c r="I31" s="266"/>
      <c r="J31" s="308" t="s">
        <v>176</v>
      </c>
      <c r="K31" s="736" t="s">
        <v>95</v>
      </c>
      <c r="L31" s="737" t="s">
        <v>21</v>
      </c>
      <c r="M31" s="737" t="s">
        <v>15</v>
      </c>
      <c r="N31" s="677" t="str">
        <f>IF(RegSm!$D$2&lt;2,"",IF(COUNTBLANK(J30:N30)&lt;5,IF(SUMIF(J30:N30,"&lt;0")," Neg wgts set to 0","")," Use default wgts (=0.2)"))</f>
        <v/>
      </c>
      <c r="O31" s="250"/>
      <c r="P31" s="588"/>
      <c r="Q31" s="266"/>
      <c r="R31" s="266"/>
      <c r="S31" s="266"/>
      <c r="T31" s="266"/>
      <c r="U31" s="266"/>
      <c r="V31" s="266"/>
      <c r="W31" s="305"/>
      <c r="X31" s="250"/>
      <c r="Y31" s="250"/>
      <c r="Z31" s="250"/>
      <c r="AA31" s="250"/>
      <c r="AB31" s="264"/>
    </row>
    <row r="32" spans="2:56" ht="16.5" hidden="1" thickBot="1" x14ac:dyDescent="0.3">
      <c r="B32" s="302">
        <v>0</v>
      </c>
      <c r="C32" s="203">
        <v>1</v>
      </c>
      <c r="D32" s="607">
        <v>250</v>
      </c>
      <c r="E32" s="204">
        <f t="shared" ref="E32:E47" si="38">IF(C32="","",IF(AD8=0,"",C32/(AQ8/$AQ$8)))</f>
        <v>1</v>
      </c>
      <c r="F32" s="204">
        <f>IF(C32="","",IF(E32="","",C32/E32))</f>
        <v>1</v>
      </c>
      <c r="G32" s="612"/>
      <c r="H32" s="277"/>
      <c r="I32" s="266"/>
      <c r="J32" s="302">
        <v>0</v>
      </c>
      <c r="K32" s="204">
        <f>IF(RegSm!$D$2&lt;2,"",IF(C32="","",IF(D8="","",D8)))</f>
        <v>0</v>
      </c>
      <c r="L32" s="204">
        <f>IF(RegSm!$D$2&lt;2,"",IF(E32="","",RegSm!D148))</f>
        <v>1.0979674601832852</v>
      </c>
      <c r="M32" s="204">
        <f>IF(RegSm!$D$2&lt;2,"",IF(E32="","",RegSm!E148))</f>
        <v>1.111</v>
      </c>
      <c r="N32" s="250"/>
      <c r="O32" s="250"/>
      <c r="P32" s="250"/>
      <c r="Q32" s="266"/>
      <c r="R32" s="266"/>
      <c r="S32" s="266"/>
      <c r="T32" s="266"/>
      <c r="U32" s="266"/>
      <c r="V32" s="266"/>
      <c r="W32" s="305"/>
      <c r="X32" s="250"/>
      <c r="Y32" s="250"/>
      <c r="Z32" s="250"/>
      <c r="AA32" s="250"/>
      <c r="AB32" s="264"/>
    </row>
    <row r="33" spans="2:28" ht="15.75" hidden="1" x14ac:dyDescent="0.25">
      <c r="B33" s="309">
        <v>1</v>
      </c>
      <c r="C33" s="220">
        <v>1.26</v>
      </c>
      <c r="D33" s="220">
        <v>678.59253852182269</v>
      </c>
      <c r="E33" s="212">
        <f t="shared" si="38"/>
        <v>1.2487883933412958</v>
      </c>
      <c r="F33" s="212">
        <f>IF(C33="","",IF(E33="","",C33/E33))</f>
        <v>1.0089779875585696</v>
      </c>
      <c r="G33" s="612"/>
      <c r="H33" s="277"/>
      <c r="I33" s="266"/>
      <c r="J33" s="307">
        <v>1</v>
      </c>
      <c r="K33" s="578">
        <f>IF(RegSm!$D$2&lt;2,"",IF(C33="","",IF(D9="","",D9)))</f>
        <v>6.6524299999999998</v>
      </c>
      <c r="L33" s="212">
        <f>IF(RegSm!$D$2&lt;2,"",IF(E33="","",RegSm!D149))</f>
        <v>1.2532796211432993</v>
      </c>
      <c r="M33" s="212">
        <f>IF(RegSm!$D$2&lt;2,"",IF(E33="","",RegSm!E149))</f>
        <v>1.2889999999999999</v>
      </c>
      <c r="N33" s="250"/>
      <c r="O33" s="250"/>
      <c r="P33" s="250"/>
      <c r="Q33" s="266"/>
      <c r="R33" s="266"/>
      <c r="S33" s="266"/>
      <c r="T33" s="266"/>
      <c r="U33" s="266"/>
      <c r="V33" s="266"/>
      <c r="W33" s="305"/>
      <c r="X33" s="250"/>
      <c r="Y33" s="250"/>
      <c r="Z33" s="250"/>
      <c r="AA33" s="250"/>
      <c r="AB33" s="264"/>
    </row>
    <row r="34" spans="2:28" ht="15.75" hidden="1" x14ac:dyDescent="0.25">
      <c r="B34" s="307">
        <v>2</v>
      </c>
      <c r="C34" s="220">
        <v>1.59</v>
      </c>
      <c r="D34" s="220">
        <v>269.8590076390488</v>
      </c>
      <c r="E34" s="212">
        <f t="shared" si="38"/>
        <v>1.4820978151502622</v>
      </c>
      <c r="F34" s="212">
        <f t="shared" ref="F34:F47" si="39">IF(C34="","",IF(E34="","",C34/E34))</f>
        <v>1.0728036866033692</v>
      </c>
      <c r="G34" s="612"/>
      <c r="H34" s="277"/>
      <c r="I34" s="306"/>
      <c r="J34" s="307">
        <v>2</v>
      </c>
      <c r="K34" s="578">
        <f>IF(RegSm!$D$2&lt;2,"",IF(C34="","",IF(D10="","",D10)))</f>
        <v>23.531600000000001</v>
      </c>
      <c r="L34" s="212">
        <f>IF(RegSm!$D$2&lt;2,"",IF(E34="","",RegSm!D150))</f>
        <v>1.4401940075305928</v>
      </c>
      <c r="M34" s="212">
        <f>IF(RegSm!$D$2&lt;2,"",IF(E34="","",RegSm!E150))</f>
        <v>1.5199999999999996</v>
      </c>
      <c r="N34" s="250"/>
      <c r="O34" s="250"/>
      <c r="P34" s="250"/>
      <c r="Q34" s="305"/>
      <c r="R34" s="250"/>
      <c r="S34" s="250"/>
      <c r="T34" s="250"/>
      <c r="U34" s="250"/>
      <c r="V34" s="250"/>
      <c r="W34" s="250"/>
      <c r="X34" s="250"/>
      <c r="Y34" s="250"/>
      <c r="Z34" s="250"/>
      <c r="AA34" s="250"/>
      <c r="AB34" s="264"/>
    </row>
    <row r="35" spans="2:28" ht="15.75" hidden="1" x14ac:dyDescent="0.25">
      <c r="B35" s="307">
        <v>3</v>
      </c>
      <c r="C35" s="220">
        <v>1.67</v>
      </c>
      <c r="D35" s="220">
        <v>204.84423461094022</v>
      </c>
      <c r="E35" s="212">
        <f t="shared" si="38"/>
        <v>1.5734470077672871</v>
      </c>
      <c r="F35" s="212">
        <f t="shared" si="39"/>
        <v>1.0613639936750847</v>
      </c>
      <c r="G35" s="612"/>
      <c r="H35" s="277"/>
      <c r="I35" s="306"/>
      <c r="J35" s="307">
        <v>3</v>
      </c>
      <c r="K35" s="578">
        <f>IF(RegSm!$D$2&lt;2,"",IF(C35="","",IF(D11="","",D11)))</f>
        <v>33.539400000000001</v>
      </c>
      <c r="L35" s="212">
        <f>IF(RegSm!$D$2&lt;2,"",IF(E35="","",RegSm!D151))</f>
        <v>1.6190534912899188</v>
      </c>
      <c r="M35" s="212">
        <f>IF(RegSm!$D$2&lt;2,"",IF(E35="","",RegSm!E151))</f>
        <v>1.7259999999999995</v>
      </c>
      <c r="N35" s="250"/>
      <c r="O35" s="250"/>
      <c r="P35" s="250"/>
      <c r="Q35" s="305"/>
      <c r="R35" s="250"/>
      <c r="S35" s="250"/>
      <c r="T35" s="250"/>
      <c r="U35" s="250"/>
      <c r="V35" s="250"/>
      <c r="W35" s="250"/>
      <c r="X35" s="250"/>
      <c r="Y35" s="250"/>
      <c r="Z35" s="250"/>
      <c r="AA35" s="250"/>
      <c r="AB35" s="264"/>
    </row>
    <row r="36" spans="2:28" ht="15.75" hidden="1" x14ac:dyDescent="0.25">
      <c r="B36" s="307">
        <v>4</v>
      </c>
      <c r="C36" s="220">
        <v>1.98</v>
      </c>
      <c r="D36" s="220">
        <v>174.89185122952264</v>
      </c>
      <c r="E36" s="212">
        <f t="shared" si="38"/>
        <v>1.8290780124877151</v>
      </c>
      <c r="F36" s="212">
        <f t="shared" si="39"/>
        <v>1.0825126027877932</v>
      </c>
      <c r="G36" s="612"/>
      <c r="H36" s="277"/>
      <c r="I36" s="306"/>
      <c r="J36" s="307">
        <v>4</v>
      </c>
      <c r="K36" s="578">
        <f>IF(RegSm!$D$2&lt;2,"",IF(C36="","",IF(D12="","",D12)))</f>
        <v>43.674599999999998</v>
      </c>
      <c r="L36" s="212">
        <f>IF(RegSm!$D$2&lt;2,"",IF(E36="","",RegSm!D152))</f>
        <v>1.8083163027078004</v>
      </c>
      <c r="M36" s="212">
        <f>IF(RegSm!$D$2&lt;2,"",IF(E36="","",RegSm!E152))</f>
        <v>1.9469999999999996</v>
      </c>
      <c r="N36" s="250"/>
      <c r="O36" s="250"/>
      <c r="P36" s="250"/>
      <c r="Q36" s="305"/>
      <c r="R36" s="250"/>
      <c r="S36" s="250"/>
      <c r="T36" s="250"/>
      <c r="U36" s="250"/>
      <c r="V36" s="250"/>
      <c r="W36" s="250"/>
      <c r="X36" s="250"/>
      <c r="Y36" s="250"/>
      <c r="Z36" s="250"/>
      <c r="AA36" s="250"/>
      <c r="AB36" s="264"/>
    </row>
    <row r="37" spans="2:28" ht="15.75" hidden="1" x14ac:dyDescent="0.25">
      <c r="B37" s="307">
        <v>5</v>
      </c>
      <c r="C37" s="220">
        <v>2.1800000000000002</v>
      </c>
      <c r="D37" s="220">
        <v>80.342980609274747</v>
      </c>
      <c r="E37" s="212">
        <f t="shared" si="38"/>
        <v>2.0256068332127941</v>
      </c>
      <c r="F37" s="212">
        <f t="shared" si="39"/>
        <v>1.0762206980425342</v>
      </c>
      <c r="G37" s="612"/>
      <c r="H37" s="277"/>
      <c r="I37" s="306"/>
      <c r="J37" s="307">
        <v>5</v>
      </c>
      <c r="K37" s="578">
        <f>IF(RegSm!$D$2&lt;2,"",IF(C37="","",IF(D13="","",D13)))</f>
        <v>53.618000000000002</v>
      </c>
      <c r="L37" s="212">
        <f>IF(RegSm!$D$2&lt;2,"",IF(E37="","",RegSm!D153))</f>
        <v>1.9593966805644061</v>
      </c>
      <c r="M37" s="212">
        <f>IF(RegSm!$D$2&lt;2,"",IF(E37="","",RegSm!E153))</f>
        <v>2.1129999999999995</v>
      </c>
      <c r="N37" s="250"/>
      <c r="O37" s="250"/>
      <c r="P37" s="250"/>
      <c r="Q37" s="305"/>
      <c r="R37" s="250"/>
      <c r="S37" s="250"/>
      <c r="T37" s="250"/>
      <c r="U37" s="250"/>
      <c r="V37" s="250"/>
      <c r="W37" s="250"/>
      <c r="X37" s="250"/>
      <c r="Y37" s="250"/>
      <c r="Z37" s="250"/>
      <c r="AA37" s="250"/>
      <c r="AB37" s="264"/>
    </row>
    <row r="38" spans="2:28" ht="15.75" hidden="1" x14ac:dyDescent="0.25">
      <c r="B38" s="307">
        <v>6</v>
      </c>
      <c r="C38" s="220">
        <v>2.2599999999999998</v>
      </c>
      <c r="D38" s="220">
        <v>192.45506233444701</v>
      </c>
      <c r="E38" s="212">
        <f t="shared" si="38"/>
        <v>2.0866454800167236</v>
      </c>
      <c r="F38" s="212">
        <f t="shared" si="39"/>
        <v>1.0830780895190144</v>
      </c>
      <c r="G38" s="612"/>
      <c r="H38" s="277"/>
      <c r="I38" s="306"/>
      <c r="J38" s="307">
        <v>6</v>
      </c>
      <c r="K38" s="578">
        <f>IF(RegSm!$D$2&lt;2,"",IF(C38="","",IF(D14="","",D14)))</f>
        <v>80.8767</v>
      </c>
      <c r="L38" s="212">
        <f>IF(RegSm!$D$2&lt;2,"",IF(E38="","",RegSm!D154))</f>
        <v>2.0486810039030363</v>
      </c>
      <c r="M38" s="212">
        <f>IF(RegSm!$D$2&lt;2,"",IF(E38="","",RegSm!E154))</f>
        <v>2.2159999999999997</v>
      </c>
      <c r="N38" s="250"/>
      <c r="O38" s="250"/>
      <c r="P38" s="250"/>
      <c r="Q38" s="305"/>
      <c r="R38" s="250"/>
      <c r="S38" s="250"/>
      <c r="T38" s="250"/>
      <c r="U38" s="250"/>
      <c r="V38" s="250"/>
      <c r="W38" s="250"/>
      <c r="X38" s="250"/>
      <c r="Y38" s="250"/>
      <c r="Z38" s="250"/>
      <c r="AA38" s="250"/>
      <c r="AB38" s="264"/>
    </row>
    <row r="39" spans="2:28" ht="15.75" hidden="1" x14ac:dyDescent="0.25">
      <c r="B39" s="307">
        <v>7</v>
      </c>
      <c r="C39" s="220"/>
      <c r="D39" s="220"/>
      <c r="E39" s="212" t="str">
        <f t="shared" si="38"/>
        <v/>
      </c>
      <c r="F39" s="212" t="str">
        <f t="shared" si="39"/>
        <v/>
      </c>
      <c r="G39" s="612"/>
      <c r="H39" s="277"/>
      <c r="I39" s="306"/>
      <c r="J39" s="307">
        <v>7</v>
      </c>
      <c r="K39" s="578" t="str">
        <f>IF(RegSm!$D$2&lt;2,"",IF(C39="","",IF(D15="","",D15)))</f>
        <v/>
      </c>
      <c r="L39" s="212" t="str">
        <f>IF(RegSm!$D$2&lt;2,"",IF(E39="","",RegSm!D155))</f>
        <v/>
      </c>
      <c r="M39" s="212" t="str">
        <f>IF(RegSm!$D$2&lt;2,"",IF(E39="","",RegSm!E155))</f>
        <v/>
      </c>
      <c r="N39" s="250"/>
      <c r="O39" s="250"/>
      <c r="P39" s="250"/>
      <c r="Q39" s="305"/>
      <c r="R39" s="250"/>
      <c r="S39" s="250"/>
      <c r="T39" s="250"/>
      <c r="U39" s="250"/>
      <c r="V39" s="250"/>
      <c r="W39" s="250"/>
      <c r="X39" s="250"/>
      <c r="Y39" s="250"/>
      <c r="Z39" s="250"/>
      <c r="AA39" s="250"/>
      <c r="AB39" s="264"/>
    </row>
    <row r="40" spans="2:28" ht="15.75" hidden="1" x14ac:dyDescent="0.25">
      <c r="B40" s="307">
        <v>8</v>
      </c>
      <c r="C40" s="220"/>
      <c r="D40" s="220"/>
      <c r="E40" s="212" t="str">
        <f t="shared" si="38"/>
        <v/>
      </c>
      <c r="F40" s="212" t="str">
        <f t="shared" si="39"/>
        <v/>
      </c>
      <c r="G40" s="612"/>
      <c r="H40" s="277"/>
      <c r="I40" s="306"/>
      <c r="J40" s="307">
        <v>8</v>
      </c>
      <c r="K40" s="578" t="str">
        <f>IF(RegSm!$D$2&lt;2,"",IF(C40="","",IF(D16="","",D16)))</f>
        <v/>
      </c>
      <c r="L40" s="212" t="str">
        <f>IF(RegSm!$D$2&lt;2,"",IF(E40="","",RegSm!D156))</f>
        <v/>
      </c>
      <c r="M40" s="212" t="str">
        <f>IF(RegSm!$D$2&lt;2,"",IF(E40="","",RegSm!E156))</f>
        <v/>
      </c>
      <c r="N40" s="250"/>
      <c r="O40" s="250"/>
      <c r="P40" s="250"/>
      <c r="Q40" s="305"/>
      <c r="R40" s="250"/>
      <c r="S40" s="250"/>
      <c r="T40" s="250"/>
      <c r="U40" s="250"/>
      <c r="V40" s="250"/>
      <c r="W40" s="250"/>
      <c r="X40" s="250"/>
      <c r="Y40" s="250"/>
      <c r="Z40" s="250"/>
      <c r="AA40" s="250"/>
      <c r="AB40" s="264"/>
    </row>
    <row r="41" spans="2:28" ht="15.75" hidden="1" x14ac:dyDescent="0.25">
      <c r="B41" s="307">
        <v>9</v>
      </c>
      <c r="C41" s="220"/>
      <c r="D41" s="220"/>
      <c r="E41" s="212" t="str">
        <f t="shared" si="38"/>
        <v/>
      </c>
      <c r="F41" s="212" t="str">
        <f t="shared" si="39"/>
        <v/>
      </c>
      <c r="G41" s="612"/>
      <c r="H41" s="277"/>
      <c r="I41" s="306"/>
      <c r="J41" s="307">
        <v>9</v>
      </c>
      <c r="K41" s="578" t="str">
        <f>IF(RegSm!$D$2&lt;2,"",IF(C41="","",IF(D17="","",D17)))</f>
        <v/>
      </c>
      <c r="L41" s="212" t="str">
        <f>IF(RegSm!$D$2&lt;2,"",IF(E41="","",RegSm!D157))</f>
        <v/>
      </c>
      <c r="M41" s="212" t="str">
        <f>IF(RegSm!$D$2&lt;2,"",IF(E41="","",RegSm!E157))</f>
        <v/>
      </c>
      <c r="N41" s="250"/>
      <c r="O41" s="250"/>
      <c r="P41" s="250"/>
      <c r="Q41" s="305"/>
      <c r="R41" s="250"/>
      <c r="S41" s="250"/>
      <c r="T41" s="250"/>
      <c r="U41" s="250"/>
      <c r="V41" s="250"/>
      <c r="W41" s="250"/>
      <c r="X41" s="250"/>
      <c r="Y41" s="250"/>
      <c r="Z41" s="250"/>
      <c r="AA41" s="250"/>
      <c r="AB41" s="264"/>
    </row>
    <row r="42" spans="2:28" ht="15.75" hidden="1" x14ac:dyDescent="0.25">
      <c r="B42" s="307">
        <v>10</v>
      </c>
      <c r="C42" s="220"/>
      <c r="D42" s="220"/>
      <c r="E42" s="212" t="str">
        <f t="shared" si="38"/>
        <v/>
      </c>
      <c r="F42" s="212" t="str">
        <f t="shared" si="39"/>
        <v/>
      </c>
      <c r="G42" s="612"/>
      <c r="H42" s="277"/>
      <c r="I42" s="306"/>
      <c r="J42" s="307">
        <v>10</v>
      </c>
      <c r="K42" s="578" t="str">
        <f>IF(RegSm!$D$2&lt;2,"",IF(C42="","",IF(D18="","",D18)))</f>
        <v/>
      </c>
      <c r="L42" s="212" t="str">
        <f>IF(RegSm!$D$2&lt;2,"",IF(E42="","",RegSm!D158))</f>
        <v/>
      </c>
      <c r="M42" s="212" t="str">
        <f>IF(RegSm!$D$2&lt;2,"",IF(E42="","",RegSm!E158))</f>
        <v/>
      </c>
      <c r="N42" s="250"/>
      <c r="O42" s="250"/>
      <c r="P42" s="250"/>
      <c r="Q42" s="305"/>
      <c r="R42" s="250"/>
      <c r="S42" s="250"/>
      <c r="T42" s="250"/>
      <c r="U42" s="250"/>
      <c r="V42" s="250"/>
      <c r="W42" s="250"/>
      <c r="X42" s="250"/>
      <c r="Y42" s="250"/>
      <c r="Z42" s="250"/>
      <c r="AA42" s="250"/>
      <c r="AB42" s="264"/>
    </row>
    <row r="43" spans="2:28" ht="15.75" hidden="1" x14ac:dyDescent="0.25">
      <c r="B43" s="307">
        <v>11</v>
      </c>
      <c r="C43" s="220"/>
      <c r="D43" s="220"/>
      <c r="E43" s="212" t="str">
        <f t="shared" si="38"/>
        <v/>
      </c>
      <c r="F43" s="212" t="str">
        <f t="shared" si="39"/>
        <v/>
      </c>
      <c r="G43" s="612"/>
      <c r="H43" s="277"/>
      <c r="I43" s="306"/>
      <c r="J43" s="307">
        <v>11</v>
      </c>
      <c r="K43" s="578" t="str">
        <f>IF(RegSm!$D$2&lt;2,"",IF(C43="","",IF(D19="","",D19)))</f>
        <v/>
      </c>
      <c r="L43" s="212" t="str">
        <f>IF(RegSm!$D$2&lt;2,"",IF(E43="","",RegSm!D159))</f>
        <v/>
      </c>
      <c r="M43" s="212" t="str">
        <f>IF(RegSm!$D$2&lt;2,"",IF(E43="","",RegSm!E159))</f>
        <v/>
      </c>
      <c r="N43" s="250"/>
      <c r="O43" s="250"/>
      <c r="P43" s="250"/>
      <c r="Q43" s="305"/>
      <c r="R43" s="250"/>
      <c r="S43" s="250"/>
      <c r="T43" s="250"/>
      <c r="U43" s="250"/>
      <c r="V43" s="250"/>
      <c r="W43" s="250"/>
      <c r="X43" s="250"/>
      <c r="Y43" s="250"/>
      <c r="Z43" s="250"/>
      <c r="AA43" s="250"/>
      <c r="AB43" s="264"/>
    </row>
    <row r="44" spans="2:28" ht="15.75" hidden="1" x14ac:dyDescent="0.25">
      <c r="B44" s="307">
        <v>12</v>
      </c>
      <c r="C44" s="220"/>
      <c r="D44" s="220"/>
      <c r="E44" s="212" t="str">
        <f t="shared" si="38"/>
        <v/>
      </c>
      <c r="F44" s="212" t="str">
        <f t="shared" si="39"/>
        <v/>
      </c>
      <c r="G44" s="612"/>
      <c r="H44" s="277"/>
      <c r="I44" s="266"/>
      <c r="J44" s="307">
        <v>12</v>
      </c>
      <c r="K44" s="578" t="str">
        <f>IF(RegSm!$D$2&lt;2,"",IF(C44="","",IF(D20="","",D20)))</f>
        <v/>
      </c>
      <c r="L44" s="212" t="str">
        <f>IF(RegSm!$D$2&lt;2,"",IF(E44="","",RegSm!D160))</f>
        <v/>
      </c>
      <c r="M44" s="212" t="str">
        <f>IF(RegSm!$D$2&lt;2,"",IF(E44="","",RegSm!E160))</f>
        <v/>
      </c>
      <c r="N44" s="250"/>
      <c r="O44" s="250"/>
      <c r="P44" s="250"/>
      <c r="Q44" s="266"/>
      <c r="R44" s="266"/>
      <c r="S44" s="266"/>
      <c r="T44" s="266"/>
      <c r="U44" s="266"/>
      <c r="V44" s="266"/>
      <c r="W44" s="305"/>
      <c r="X44" s="250"/>
      <c r="Y44" s="250"/>
      <c r="Z44" s="250"/>
      <c r="AA44" s="250"/>
      <c r="AB44" s="264"/>
    </row>
    <row r="45" spans="2:28" ht="15.75" hidden="1" x14ac:dyDescent="0.25">
      <c r="B45" s="307">
        <v>13</v>
      </c>
      <c r="C45" s="220"/>
      <c r="D45" s="220"/>
      <c r="E45" s="212" t="str">
        <f t="shared" si="38"/>
        <v/>
      </c>
      <c r="F45" s="212" t="str">
        <f t="shared" si="39"/>
        <v/>
      </c>
      <c r="G45" s="612"/>
      <c r="H45" s="277"/>
      <c r="I45" s="266"/>
      <c r="J45" s="307">
        <v>13</v>
      </c>
      <c r="K45" s="578" t="str">
        <f>IF(RegSm!$D$2&lt;2,"",IF(C45="","",IF(D21="","",D21)))</f>
        <v/>
      </c>
      <c r="L45" s="212" t="str">
        <f>IF(RegSm!$D$2&lt;2,"",IF(E45="","",RegSm!D161))</f>
        <v/>
      </c>
      <c r="M45" s="212" t="str">
        <f>IF(RegSm!$D$2&lt;2,"",IF(E45="","",RegSm!E161))</f>
        <v/>
      </c>
      <c r="N45" s="250"/>
      <c r="O45" s="250"/>
      <c r="P45" s="250"/>
      <c r="Q45" s="266"/>
      <c r="R45" s="266"/>
      <c r="S45" s="266"/>
      <c r="T45" s="266"/>
      <c r="U45" s="266"/>
      <c r="V45" s="266"/>
      <c r="W45" s="305"/>
      <c r="X45" s="250"/>
      <c r="Y45" s="250"/>
      <c r="Z45" s="250"/>
      <c r="AA45" s="250"/>
      <c r="AB45" s="264"/>
    </row>
    <row r="46" spans="2:28" ht="15.75" hidden="1" x14ac:dyDescent="0.25">
      <c r="B46" s="307">
        <v>14</v>
      </c>
      <c r="C46" s="220"/>
      <c r="D46" s="220"/>
      <c r="E46" s="212" t="str">
        <f t="shared" si="38"/>
        <v/>
      </c>
      <c r="F46" s="212" t="str">
        <f t="shared" si="39"/>
        <v/>
      </c>
      <c r="G46" s="612"/>
      <c r="H46" s="277"/>
      <c r="I46" s="266"/>
      <c r="J46" s="307">
        <v>14</v>
      </c>
      <c r="K46" s="578" t="str">
        <f>IF(RegSm!$D$2&lt;2,"",IF(C46="","",IF(D22="","",D22)))</f>
        <v/>
      </c>
      <c r="L46" s="212" t="str">
        <f>IF(RegSm!$D$2&lt;2,"",IF(E46="","",RegSm!D162))</f>
        <v/>
      </c>
      <c r="M46" s="212" t="str">
        <f>IF(RegSm!$D$2&lt;2,"",IF(E46="","",RegSm!E162))</f>
        <v/>
      </c>
      <c r="N46" s="250"/>
      <c r="O46" s="250"/>
      <c r="P46" s="250"/>
      <c r="Q46" s="338"/>
      <c r="R46" s="338"/>
      <c r="S46" s="338"/>
      <c r="T46" s="338"/>
      <c r="U46" s="338"/>
      <c r="V46" s="338"/>
      <c r="W46" s="305"/>
      <c r="X46" s="250"/>
      <c r="Y46" s="250"/>
      <c r="Z46" s="250"/>
      <c r="AA46" s="250"/>
      <c r="AB46" s="264"/>
    </row>
    <row r="47" spans="2:28" ht="16.5" hidden="1" thickBot="1" x14ac:dyDescent="0.3">
      <c r="B47" s="308">
        <v>15</v>
      </c>
      <c r="C47" s="221"/>
      <c r="D47" s="221"/>
      <c r="E47" s="208" t="str">
        <f t="shared" si="38"/>
        <v/>
      </c>
      <c r="F47" s="208" t="str">
        <f t="shared" si="39"/>
        <v/>
      </c>
      <c r="G47" s="612"/>
      <c r="H47" s="277"/>
      <c r="I47" s="338"/>
      <c r="J47" s="308">
        <v>15</v>
      </c>
      <c r="K47" s="579" t="str">
        <f>IF(RegSm!$D$2&lt;2,"",IF(C47="","",IF(D23="","",D23)))</f>
        <v/>
      </c>
      <c r="L47" s="208" t="str">
        <f>IF(RegSm!$D$2&lt;2,"",IF(E47="","",RegSm!D163))</f>
        <v/>
      </c>
      <c r="M47" s="208" t="str">
        <f>IF(RegSm!$D$2&lt;2,"",IF(E47="","",RegSm!E163))</f>
        <v/>
      </c>
      <c r="N47" s="250"/>
      <c r="O47" s="250"/>
      <c r="P47" s="250"/>
      <c r="Q47" s="279"/>
      <c r="R47" s="279"/>
      <c r="S47" s="279"/>
      <c r="T47" s="279"/>
      <c r="U47" s="279"/>
      <c r="V47" s="279"/>
      <c r="W47" s="279"/>
      <c r="X47" s="250"/>
      <c r="Y47" s="250"/>
      <c r="Z47" s="250"/>
      <c r="AA47" s="250"/>
      <c r="AB47" s="264"/>
    </row>
    <row r="48" spans="2:28" ht="15.75" hidden="1" x14ac:dyDescent="0.25">
      <c r="B48" s="613"/>
      <c r="C48" s="614"/>
      <c r="D48" s="614"/>
      <c r="E48" s="615"/>
      <c r="F48" s="615"/>
      <c r="G48" s="615"/>
      <c r="H48" s="616"/>
      <c r="I48" s="618"/>
      <c r="J48" s="617"/>
      <c r="K48" s="615"/>
      <c r="L48" s="887" t="str">
        <f>IF(RegSm!$D$2&gt;1,"Note: plots use the Excel 'smooth line' style","")</f>
        <v>Note: plots use the Excel 'smooth line' style</v>
      </c>
      <c r="M48" s="615"/>
      <c r="N48" s="619"/>
      <c r="O48" s="250"/>
      <c r="P48" s="250"/>
      <c r="Q48" s="279"/>
      <c r="R48" s="279"/>
      <c r="S48" s="279"/>
      <c r="T48" s="279"/>
      <c r="U48" s="279"/>
      <c r="V48" s="279"/>
      <c r="W48" s="279"/>
      <c r="X48" s="250"/>
      <c r="Y48" s="250"/>
      <c r="Z48" s="250"/>
      <c r="AA48" s="250"/>
      <c r="AB48" s="264"/>
    </row>
    <row r="49" spans="2:34" ht="18.75" hidden="1" x14ac:dyDescent="0.25">
      <c r="B49" s="613"/>
      <c r="C49" s="614"/>
      <c r="D49" s="614"/>
      <c r="E49" s="615"/>
      <c r="F49" s="615"/>
      <c r="G49" s="615"/>
      <c r="H49" s="616"/>
      <c r="I49" s="617"/>
      <c r="J49" s="623" t="str">
        <f>IF(RegSm!$D$2&lt;2,"",IF(RegSm!B2&lt;=1,"",IF( ((RegSm!D2 = RegSm!B2)*(RegSm!B3 = RegSm!B2))=1,"","** Error: Mismatch in RR_Obs, RR_X &amp; X scores **")))</f>
        <v/>
      </c>
      <c r="K49" s="615"/>
      <c r="L49" s="615"/>
      <c r="M49" s="615"/>
      <c r="N49" s="618"/>
      <c r="O49" s="617"/>
      <c r="P49" s="615"/>
      <c r="Q49" s="615"/>
      <c r="R49" s="615"/>
      <c r="S49" s="619"/>
      <c r="T49" s="250"/>
      <c r="U49" s="250"/>
      <c r="V49" s="279"/>
      <c r="W49" s="279"/>
      <c r="X49" s="279"/>
      <c r="Y49" s="279"/>
      <c r="Z49" s="279"/>
      <c r="AA49" s="279"/>
      <c r="AB49" s="622"/>
    </row>
    <row r="50" spans="2:34" ht="19.5" hidden="1" thickBot="1" x14ac:dyDescent="0.3">
      <c r="B50" s="613"/>
      <c r="C50" s="614"/>
      <c r="D50" s="614"/>
      <c r="E50" s="615"/>
      <c r="F50" s="615"/>
      <c r="G50" s="615"/>
      <c r="H50" s="616"/>
      <c r="I50" s="617"/>
      <c r="J50" s="615"/>
      <c r="K50" s="623"/>
      <c r="L50" s="615"/>
      <c r="M50" s="615"/>
      <c r="N50" s="618"/>
      <c r="O50" s="617"/>
      <c r="P50" s="615"/>
      <c r="Q50" s="615"/>
      <c r="R50" s="615"/>
      <c r="S50" s="619"/>
      <c r="T50" s="250"/>
      <c r="U50" s="250"/>
      <c r="V50" s="279"/>
      <c r="W50" s="279"/>
      <c r="X50" s="279"/>
      <c r="Y50" s="279"/>
      <c r="Z50" s="279"/>
      <c r="AA50" s="279"/>
      <c r="AB50" s="622"/>
    </row>
    <row r="51" spans="2:34" ht="20.25" hidden="1" customHeight="1" thickBot="1" x14ac:dyDescent="0.3">
      <c r="B51" s="620"/>
      <c r="C51" s="618"/>
      <c r="D51" s="621"/>
      <c r="E51" s="621"/>
      <c r="F51" s="618"/>
      <c r="G51" s="618"/>
      <c r="H51" s="616"/>
      <c r="I51" s="616"/>
      <c r="J51" s="923" t="s">
        <v>267</v>
      </c>
      <c r="K51" s="924"/>
      <c r="L51" s="924"/>
      <c r="M51" s="925"/>
      <c r="N51" s="616"/>
      <c r="O51" s="619"/>
      <c r="P51" s="619"/>
      <c r="Q51" s="619"/>
      <c r="R51" s="619"/>
      <c r="S51" s="619"/>
      <c r="T51" s="250"/>
      <c r="U51" s="250"/>
      <c r="V51" s="279"/>
      <c r="W51" s="279"/>
      <c r="X51" s="279"/>
      <c r="Y51" s="279"/>
      <c r="Z51" s="279"/>
      <c r="AA51" s="279"/>
      <c r="AB51" s="622"/>
    </row>
    <row r="52" spans="2:34" ht="20.25" hidden="1" customHeight="1" thickBot="1" x14ac:dyDescent="0.3">
      <c r="B52" s="265"/>
      <c r="C52" s="250"/>
      <c r="D52" s="250"/>
      <c r="E52" s="250"/>
      <c r="F52" s="250"/>
      <c r="G52" s="250"/>
      <c r="H52" s="250"/>
      <c r="I52" s="334"/>
      <c r="J52" s="734" t="s">
        <v>55</v>
      </c>
      <c r="K52" s="232">
        <v>0</v>
      </c>
      <c r="L52" s="915" t="s">
        <v>80</v>
      </c>
      <c r="M52" s="916"/>
      <c r="N52" s="311" t="str">
        <f>IF(K52 &lt;&gt;1,IF(K52&lt;&gt;0,"**Error: Value must = 1 or 0**",""),"")</f>
        <v/>
      </c>
      <c r="O52" s="250"/>
      <c r="P52" s="277"/>
      <c r="Q52" s="277"/>
      <c r="R52" s="277"/>
      <c r="S52" s="250"/>
      <c r="T52" s="250"/>
      <c r="U52" s="250"/>
      <c r="V52" s="250"/>
      <c r="W52" s="250"/>
      <c r="X52" s="250"/>
      <c r="Y52" s="250"/>
      <c r="Z52" s="250"/>
      <c r="AA52" s="250"/>
      <c r="AB52" s="264"/>
    </row>
    <row r="53" spans="2:34" ht="16.5" hidden="1" thickBot="1" x14ac:dyDescent="0.3">
      <c r="B53" s="265"/>
      <c r="C53" s="250"/>
      <c r="D53" s="250"/>
      <c r="E53" s="250"/>
      <c r="F53" s="250"/>
      <c r="G53" s="250"/>
      <c r="H53" s="250"/>
      <c r="I53" s="283" t="s">
        <v>218</v>
      </c>
      <c r="J53" s="910" t="s">
        <v>241</v>
      </c>
      <c r="K53" s="911"/>
      <c r="L53" s="910" t="s">
        <v>297</v>
      </c>
      <c r="M53" s="911"/>
      <c r="N53" s="311" t="str">
        <f>IF(RegSm!$D$2&lt;2,"",IF(RegSm!A73=16," Use default weights (=1.0)",IF(COUNTIF(C32:C47,"&gt;0")&lt;=COUNTIF(D32:D47,"&gt;=0"),"","Neg/blank wgts set to zero")))</f>
        <v/>
      </c>
      <c r="O53" s="250"/>
      <c r="P53" s="277"/>
      <c r="Q53" s="277"/>
      <c r="R53" s="277"/>
      <c r="S53" s="250"/>
      <c r="T53" s="250"/>
      <c r="U53" s="250"/>
      <c r="V53" s="250"/>
      <c r="W53" s="250"/>
      <c r="X53" s="250"/>
      <c r="Y53" s="250"/>
      <c r="Z53" s="250"/>
      <c r="AA53" s="250"/>
      <c r="AB53" s="264"/>
    </row>
    <row r="54" spans="2:34" ht="15.75" hidden="1" x14ac:dyDescent="0.25">
      <c r="B54" s="265"/>
      <c r="C54" s="250"/>
      <c r="D54" s="250"/>
      <c r="E54" s="250"/>
      <c r="F54" s="250"/>
      <c r="G54" s="250"/>
      <c r="H54" s="250"/>
      <c r="I54" s="304" t="s">
        <v>216</v>
      </c>
      <c r="J54" s="212">
        <f>IF(RegSm!$D$2&lt;2,"",IF(J49="",RegSm!C91,""))</f>
        <v>0</v>
      </c>
      <c r="K54" s="212">
        <f>IF(RegSm!$D$2&lt;2,"",IF(J49="",RegSm!E91,""))</f>
        <v>0</v>
      </c>
      <c r="L54" s="212">
        <f>IF(RegSm!$D$2&lt;2,"",IF(J49="",RegSm!G91,""))</f>
        <v>0</v>
      </c>
      <c r="M54" s="212">
        <f>IF(RegSm!$D$2&lt;2,"",IF(J49="",RegSm!I91,""))</f>
        <v>0</v>
      </c>
      <c r="N54" s="711"/>
      <c r="O54" s="250"/>
      <c r="P54" s="277"/>
      <c r="Q54" s="277"/>
      <c r="R54" s="277"/>
      <c r="S54" s="250"/>
      <c r="T54" s="250"/>
      <c r="U54" s="250"/>
      <c r="V54" s="250"/>
      <c r="W54" s="250"/>
      <c r="X54" s="250"/>
      <c r="Y54" s="250"/>
      <c r="Z54" s="250"/>
      <c r="AA54" s="250"/>
      <c r="AB54" s="264"/>
    </row>
    <row r="55" spans="2:34" ht="16.5" hidden="1" thickBot="1" x14ac:dyDescent="0.3">
      <c r="B55" s="265"/>
      <c r="C55" s="250"/>
      <c r="D55" s="250"/>
      <c r="E55" s="250"/>
      <c r="F55" s="250"/>
      <c r="G55" s="250"/>
      <c r="H55" s="250"/>
      <c r="I55" s="339" t="s">
        <v>217</v>
      </c>
      <c r="J55" s="208">
        <f>IF(RegSm!$D$2&lt;2,"",IF(J49="",RegSm!D91,""))</f>
        <v>1.1515370786162769E-2</v>
      </c>
      <c r="K55" s="208">
        <f>IF(RegSm!$D$2&lt;2,"",IF(J49="",RegSm!F91,""))</f>
        <v>1.2885535230905751E-2</v>
      </c>
      <c r="L55" s="208">
        <f>IF(RegSm!$D$2&lt;2,"",IF(J49="",RegSm!H91,""))</f>
        <v>1.6024993876378398E-2</v>
      </c>
      <c r="M55" s="208">
        <f>IF(RegSm!$D$2&lt;2,"",IF(J49="",RegSm!J91,""))</f>
        <v>1.8673666993787773E-2</v>
      </c>
      <c r="N55" s="277"/>
      <c r="O55" s="250"/>
      <c r="P55" s="277"/>
      <c r="Q55" s="277"/>
      <c r="R55" s="277"/>
      <c r="S55" s="250"/>
      <c r="T55" s="250"/>
      <c r="U55" s="250"/>
      <c r="V55" s="250"/>
      <c r="W55" s="250"/>
      <c r="X55" s="250"/>
      <c r="Y55" s="250"/>
      <c r="Z55" s="250"/>
      <c r="AA55" s="250"/>
      <c r="AB55" s="264"/>
    </row>
    <row r="56" spans="2:34" ht="16.5" hidden="1" thickBot="1" x14ac:dyDescent="0.3">
      <c r="B56" s="265"/>
      <c r="C56" s="250"/>
      <c r="D56" s="250"/>
      <c r="E56" s="250"/>
      <c r="F56" s="250"/>
      <c r="G56" s="250"/>
      <c r="H56" s="250"/>
      <c r="I56" s="283" t="s">
        <v>223</v>
      </c>
      <c r="J56" s="204">
        <f>IF(RegSm!$D$2&lt;2,"",IF(J49="",EXP(J55),""))</f>
        <v>1.0115819278996003</v>
      </c>
      <c r="K56" s="204">
        <f>IF(RegSm!$D$2&lt;2,"",IF(J49="",EXP(K55),""))</f>
        <v>1.0129689114709526</v>
      </c>
      <c r="L56" s="250"/>
      <c r="M56" s="250"/>
      <c r="N56" s="250"/>
      <c r="O56" s="250"/>
      <c r="P56" s="277"/>
      <c r="Q56" s="277"/>
      <c r="R56" s="277"/>
      <c r="S56" s="250"/>
      <c r="T56" s="250"/>
      <c r="U56" s="250"/>
      <c r="V56" s="250"/>
      <c r="W56" s="250"/>
      <c r="X56" s="250"/>
      <c r="Y56" s="250"/>
      <c r="Z56" s="250"/>
      <c r="AA56" s="250"/>
      <c r="AB56" s="264"/>
    </row>
    <row r="57" spans="2:34" hidden="1" x14ac:dyDescent="0.25">
      <c r="B57" s="265"/>
      <c r="C57" s="250"/>
      <c r="D57" s="250"/>
      <c r="E57" s="250"/>
      <c r="F57" s="250"/>
      <c r="G57" s="250"/>
      <c r="H57" s="250"/>
      <c r="I57" s="250"/>
      <c r="J57" s="250"/>
      <c r="K57" s="250"/>
      <c r="L57" s="250"/>
      <c r="M57" s="250"/>
      <c r="N57" s="250"/>
      <c r="O57" s="250"/>
      <c r="P57" s="277"/>
      <c r="Q57" s="277"/>
      <c r="R57" s="277"/>
      <c r="S57" s="250"/>
      <c r="T57" s="250"/>
      <c r="U57" s="250"/>
      <c r="V57" s="250"/>
      <c r="W57" s="250"/>
      <c r="X57" s="250"/>
      <c r="Y57" s="250"/>
      <c r="Z57" s="250"/>
      <c r="AA57" s="250"/>
      <c r="AB57" s="264"/>
    </row>
    <row r="58" spans="2:34" ht="18.75" hidden="1" x14ac:dyDescent="0.25">
      <c r="B58" s="265"/>
      <c r="C58" s="250"/>
      <c r="D58" s="250"/>
      <c r="E58" s="250"/>
      <c r="F58" s="250"/>
      <c r="G58" s="250"/>
      <c r="H58" s="250"/>
      <c r="I58" s="250"/>
      <c r="J58" s="526"/>
      <c r="K58" s="250"/>
      <c r="L58" s="250"/>
      <c r="M58" s="250"/>
      <c r="N58" s="250"/>
      <c r="O58" s="277"/>
      <c r="P58" s="277"/>
      <c r="Q58" s="277"/>
      <c r="R58" s="250"/>
      <c r="S58" s="250"/>
      <c r="T58" s="250"/>
      <c r="U58" s="250"/>
      <c r="V58" s="250"/>
      <c r="W58" s="250"/>
      <c r="X58" s="250"/>
      <c r="Y58" s="250"/>
      <c r="Z58" s="250"/>
      <c r="AA58" s="250"/>
      <c r="AB58" s="264"/>
    </row>
    <row r="59" spans="2:34" hidden="1" x14ac:dyDescent="0.25">
      <c r="B59" s="265"/>
      <c r="C59" s="250"/>
      <c r="D59" s="250"/>
      <c r="E59" s="250"/>
      <c r="F59" s="250"/>
      <c r="G59" s="250"/>
      <c r="H59" s="250"/>
      <c r="I59" s="250"/>
      <c r="J59" s="250"/>
      <c r="K59" s="250"/>
      <c r="L59" s="250"/>
      <c r="M59" s="250"/>
      <c r="N59" s="250"/>
      <c r="O59" s="277"/>
      <c r="P59" s="277"/>
      <c r="Q59" s="277"/>
      <c r="R59" s="250"/>
      <c r="S59" s="250"/>
      <c r="T59" s="250"/>
      <c r="U59" s="250"/>
      <c r="V59" s="250"/>
      <c r="W59" s="250"/>
      <c r="X59" s="250"/>
      <c r="Y59" s="250"/>
      <c r="Z59" s="250"/>
      <c r="AA59" s="250"/>
      <c r="AB59" s="264"/>
    </row>
    <row r="60" spans="2:34" hidden="1" x14ac:dyDescent="0.25">
      <c r="B60" s="265"/>
      <c r="C60" s="250"/>
      <c r="D60" s="250"/>
      <c r="E60" s="250"/>
      <c r="F60" s="250"/>
      <c r="G60" s="250"/>
      <c r="H60" s="250"/>
      <c r="I60" s="250"/>
      <c r="J60" s="250"/>
      <c r="K60" s="277"/>
      <c r="L60" s="277"/>
      <c r="M60" s="250"/>
      <c r="N60" s="250"/>
      <c r="O60" s="277"/>
      <c r="P60" s="277"/>
      <c r="Q60" s="277"/>
      <c r="R60" s="250"/>
      <c r="S60" s="250"/>
      <c r="T60" s="250"/>
      <c r="U60" s="250"/>
      <c r="V60" s="250"/>
      <c r="W60" s="250"/>
      <c r="X60" s="250"/>
      <c r="Y60" s="250"/>
      <c r="Z60" s="250"/>
      <c r="AA60" s="250"/>
      <c r="AB60" s="264"/>
    </row>
    <row r="61" spans="2:34" hidden="1" x14ac:dyDescent="0.25">
      <c r="B61" s="265"/>
      <c r="C61" s="250"/>
      <c r="D61" s="250"/>
      <c r="E61" s="250"/>
      <c r="F61" s="250"/>
      <c r="G61" s="250"/>
      <c r="H61" s="250"/>
      <c r="I61" s="250"/>
      <c r="J61" s="250"/>
      <c r="K61" s="277"/>
      <c r="L61" s="277"/>
      <c r="M61" s="250"/>
      <c r="N61" s="250"/>
      <c r="O61" s="277"/>
      <c r="P61" s="277"/>
      <c r="Q61" s="277"/>
      <c r="R61" s="250"/>
      <c r="S61" s="250"/>
      <c r="T61" s="250"/>
      <c r="U61" s="250"/>
      <c r="V61" s="250"/>
      <c r="W61" s="250"/>
      <c r="X61" s="250"/>
      <c r="Y61" s="250"/>
      <c r="Z61" s="250"/>
      <c r="AA61" s="250"/>
      <c r="AB61" s="264"/>
    </row>
    <row r="62" spans="2:34" hidden="1" x14ac:dyDescent="0.25">
      <c r="B62" s="265"/>
      <c r="C62" s="250"/>
      <c r="D62" s="250"/>
      <c r="E62" s="250"/>
      <c r="F62" s="250"/>
      <c r="G62" s="250"/>
      <c r="H62" s="250"/>
      <c r="I62" s="250"/>
      <c r="J62" s="250"/>
      <c r="K62" s="277"/>
      <c r="L62" s="277"/>
      <c r="M62" s="250"/>
      <c r="N62" s="250"/>
      <c r="O62" s="277"/>
      <c r="P62" s="277"/>
      <c r="Q62" s="277"/>
      <c r="R62" s="250"/>
      <c r="S62" s="250"/>
      <c r="T62" s="250"/>
      <c r="U62" s="250"/>
      <c r="V62" s="250"/>
      <c r="W62" s="250"/>
      <c r="X62" s="250"/>
      <c r="Y62" s="250"/>
      <c r="Z62" s="250"/>
      <c r="AA62" s="250"/>
      <c r="AB62" s="264"/>
    </row>
    <row r="63" spans="2:34" hidden="1" x14ac:dyDescent="0.25">
      <c r="B63" s="265"/>
      <c r="C63" s="250"/>
      <c r="D63" s="250"/>
      <c r="E63" s="250"/>
      <c r="F63" s="250"/>
      <c r="G63" s="250"/>
      <c r="H63" s="250"/>
      <c r="I63" s="250"/>
      <c r="J63" s="250"/>
      <c r="K63" s="277"/>
      <c r="L63" s="277"/>
      <c r="M63" s="250"/>
      <c r="N63" s="250"/>
      <c r="O63" s="277"/>
      <c r="P63" s="277"/>
      <c r="Q63" s="277"/>
      <c r="R63" s="250"/>
      <c r="S63" s="250"/>
      <c r="T63" s="250"/>
      <c r="U63" s="250"/>
      <c r="V63" s="250"/>
      <c r="W63" s="250"/>
      <c r="X63" s="250"/>
      <c r="Y63" s="250"/>
      <c r="Z63" s="250"/>
      <c r="AA63" s="250"/>
      <c r="AB63" s="264"/>
    </row>
    <row r="64" spans="2:34" hidden="1" x14ac:dyDescent="0.25">
      <c r="B64" s="265"/>
      <c r="C64" s="250"/>
      <c r="D64" s="250"/>
      <c r="E64" s="250"/>
      <c r="F64" s="250"/>
      <c r="G64" s="250"/>
      <c r="H64" s="250"/>
      <c r="I64" s="250"/>
      <c r="J64" s="250"/>
      <c r="K64" s="277"/>
      <c r="L64" s="277"/>
      <c r="M64" s="250"/>
      <c r="N64" s="250"/>
      <c r="O64" s="250"/>
      <c r="P64" s="250"/>
      <c r="Q64" s="250"/>
      <c r="R64" s="250"/>
      <c r="S64" s="250"/>
      <c r="T64" s="250"/>
      <c r="U64" s="250"/>
      <c r="V64" s="250"/>
      <c r="W64" s="250"/>
      <c r="X64" s="250"/>
      <c r="Y64" s="250"/>
      <c r="Z64" s="250"/>
      <c r="AA64" s="266"/>
      <c r="AB64" s="264"/>
      <c r="AF64" s="277"/>
      <c r="AG64" s="277"/>
      <c r="AH64" s="277"/>
    </row>
    <row r="65" spans="2:28" hidden="1" x14ac:dyDescent="0.25">
      <c r="B65" s="265"/>
      <c r="C65" s="250"/>
      <c r="D65" s="250"/>
      <c r="E65" s="250"/>
      <c r="F65" s="250"/>
      <c r="G65" s="250"/>
      <c r="H65" s="250"/>
      <c r="I65" s="250"/>
      <c r="J65" s="250"/>
      <c r="K65" s="277"/>
      <c r="L65" s="250"/>
      <c r="M65" s="250"/>
      <c r="N65" s="250"/>
      <c r="O65" s="250"/>
      <c r="P65" s="250"/>
      <c r="Q65" s="250"/>
      <c r="R65" s="250"/>
      <c r="S65" s="277"/>
      <c r="T65" s="277"/>
      <c r="U65" s="277"/>
      <c r="V65" s="250"/>
      <c r="W65" s="250"/>
      <c r="X65" s="250"/>
      <c r="Y65" s="250"/>
      <c r="Z65" s="250"/>
      <c r="AA65" s="250"/>
      <c r="AB65" s="264"/>
    </row>
    <row r="66" spans="2:28" hidden="1" x14ac:dyDescent="0.25">
      <c r="B66" s="265"/>
      <c r="C66" s="250"/>
      <c r="D66" s="250"/>
      <c r="E66" s="250"/>
      <c r="F66" s="250"/>
      <c r="G66" s="250"/>
      <c r="H66" s="250"/>
      <c r="I66" s="250"/>
      <c r="J66" s="250"/>
      <c r="K66" s="277"/>
      <c r="L66" s="250"/>
      <c r="M66" s="250"/>
      <c r="N66" s="250"/>
      <c r="O66" s="250"/>
      <c r="P66" s="250"/>
      <c r="Q66" s="250"/>
      <c r="R66" s="250"/>
      <c r="S66" s="277"/>
      <c r="T66" s="277"/>
      <c r="U66" s="277"/>
      <c r="V66" s="250"/>
      <c r="W66" s="250"/>
      <c r="X66" s="250"/>
      <c r="Y66" s="250"/>
      <c r="Z66" s="250"/>
      <c r="AA66" s="250"/>
      <c r="AB66" s="264"/>
    </row>
    <row r="67" spans="2:28" hidden="1" x14ac:dyDescent="0.25">
      <c r="B67" s="265"/>
      <c r="C67" s="250"/>
      <c r="D67" s="250"/>
      <c r="E67" s="250"/>
      <c r="F67" s="250"/>
      <c r="G67" s="250"/>
      <c r="H67" s="250"/>
      <c r="I67" s="250"/>
      <c r="J67" s="250"/>
      <c r="K67" s="277"/>
      <c r="L67" s="250"/>
      <c r="M67" s="250"/>
      <c r="N67" s="250"/>
      <c r="O67" s="250"/>
      <c r="P67" s="250"/>
      <c r="Q67" s="250"/>
      <c r="R67" s="250"/>
      <c r="S67" s="277"/>
      <c r="T67" s="277"/>
      <c r="U67" s="277"/>
      <c r="V67" s="250"/>
      <c r="W67" s="250"/>
      <c r="X67" s="250"/>
      <c r="Y67" s="250"/>
      <c r="Z67" s="250"/>
      <c r="AA67" s="250"/>
      <c r="AB67" s="264"/>
    </row>
    <row r="68" spans="2:28" hidden="1" x14ac:dyDescent="0.25">
      <c r="B68" s="265"/>
      <c r="C68" s="250"/>
      <c r="D68" s="250"/>
      <c r="E68" s="250"/>
      <c r="F68" s="250"/>
      <c r="G68" s="250"/>
      <c r="H68" s="250"/>
      <c r="I68" s="250"/>
      <c r="J68" s="250"/>
      <c r="K68" s="277"/>
      <c r="L68" s="250"/>
      <c r="M68" s="250"/>
      <c r="N68" s="250"/>
      <c r="O68" s="250"/>
      <c r="P68" s="250"/>
      <c r="Q68" s="250"/>
      <c r="R68" s="250"/>
      <c r="S68" s="277"/>
      <c r="T68" s="277"/>
      <c r="U68" s="277"/>
      <c r="V68" s="250"/>
      <c r="W68" s="250"/>
      <c r="X68" s="250"/>
      <c r="Y68" s="250"/>
      <c r="Z68" s="250"/>
      <c r="AA68" s="250"/>
      <c r="AB68" s="264"/>
    </row>
    <row r="69" spans="2:28" hidden="1" x14ac:dyDescent="0.25">
      <c r="B69" s="265"/>
      <c r="C69" s="250"/>
      <c r="D69" s="250"/>
      <c r="E69" s="250"/>
      <c r="F69" s="250"/>
      <c r="G69" s="250"/>
      <c r="H69" s="250"/>
      <c r="I69" s="250"/>
      <c r="J69" s="250"/>
      <c r="K69" s="277"/>
      <c r="L69" s="250"/>
      <c r="M69" s="250"/>
      <c r="N69" s="250"/>
      <c r="O69" s="250"/>
      <c r="P69" s="250"/>
      <c r="Q69" s="250"/>
      <c r="R69" s="250"/>
      <c r="S69" s="277"/>
      <c r="T69" s="277"/>
      <c r="U69" s="277"/>
      <c r="V69" s="250"/>
      <c r="W69" s="250"/>
      <c r="X69" s="250"/>
      <c r="Y69" s="250"/>
      <c r="Z69" s="250"/>
      <c r="AA69" s="250"/>
      <c r="AB69" s="264"/>
    </row>
    <row r="70" spans="2:28" hidden="1" x14ac:dyDescent="0.25">
      <c r="B70" s="265"/>
      <c r="C70" s="250"/>
      <c r="D70" s="250"/>
      <c r="E70" s="250"/>
      <c r="F70" s="250"/>
      <c r="G70" s="250"/>
      <c r="H70" s="250"/>
      <c r="I70" s="250"/>
      <c r="J70" s="250"/>
      <c r="K70" s="277"/>
      <c r="L70" s="250"/>
      <c r="M70" s="250"/>
      <c r="N70" s="250"/>
      <c r="O70" s="250"/>
      <c r="P70" s="250"/>
      <c r="Q70" s="250"/>
      <c r="R70" s="250"/>
      <c r="S70" s="277"/>
      <c r="T70" s="277"/>
      <c r="U70" s="277"/>
      <c r="V70" s="250"/>
      <c r="W70" s="250"/>
      <c r="X70" s="250"/>
      <c r="Y70" s="250"/>
      <c r="Z70" s="250"/>
      <c r="AA70" s="250"/>
      <c r="AB70" s="264"/>
    </row>
    <row r="71" spans="2:28" hidden="1" x14ac:dyDescent="0.25">
      <c r="B71" s="265"/>
      <c r="C71" s="250"/>
      <c r="D71" s="250"/>
      <c r="E71" s="250"/>
      <c r="F71" s="250"/>
      <c r="G71" s="250"/>
      <c r="H71" s="250"/>
      <c r="I71" s="250"/>
      <c r="J71" s="250"/>
      <c r="K71" s="277"/>
      <c r="L71" s="250"/>
      <c r="M71" s="250"/>
      <c r="N71" s="250"/>
      <c r="O71" s="250"/>
      <c r="P71" s="250"/>
      <c r="Q71" s="250"/>
      <c r="R71" s="250"/>
      <c r="S71" s="277"/>
      <c r="T71" s="277"/>
      <c r="U71" s="277"/>
      <c r="V71" s="250"/>
      <c r="W71" s="250"/>
      <c r="X71" s="250"/>
      <c r="Y71" s="250"/>
      <c r="Z71" s="250"/>
      <c r="AA71" s="250"/>
      <c r="AB71" s="264"/>
    </row>
    <row r="72" spans="2:28" x14ac:dyDescent="0.25">
      <c r="B72" s="265"/>
      <c r="C72" s="250"/>
      <c r="D72" s="250"/>
      <c r="E72" s="250"/>
      <c r="F72" s="250"/>
      <c r="G72" s="250"/>
      <c r="H72" s="250"/>
      <c r="I72" s="250"/>
      <c r="J72" s="250"/>
      <c r="K72" s="277"/>
      <c r="L72" s="250"/>
      <c r="M72" s="250"/>
      <c r="N72" s="250"/>
      <c r="O72" s="250"/>
      <c r="P72" s="250"/>
      <c r="Q72" s="250"/>
      <c r="R72" s="250"/>
      <c r="S72" s="277"/>
      <c r="T72" s="277"/>
      <c r="U72" s="277"/>
      <c r="V72" s="250"/>
      <c r="W72" s="250"/>
      <c r="X72" s="250"/>
      <c r="Y72" s="250"/>
      <c r="Z72" s="250"/>
      <c r="AA72" s="250"/>
      <c r="AB72" s="264"/>
    </row>
    <row r="73" spans="2:28" hidden="1" x14ac:dyDescent="0.25">
      <c r="B73" s="265"/>
      <c r="C73" s="250"/>
      <c r="D73" s="250"/>
      <c r="E73" s="250"/>
      <c r="F73" s="250"/>
      <c r="G73" s="250"/>
      <c r="H73" s="250"/>
      <c r="I73" s="250"/>
      <c r="J73" s="250"/>
      <c r="K73" s="277"/>
      <c r="L73" s="250"/>
      <c r="M73" s="250"/>
      <c r="N73" s="250"/>
      <c r="O73" s="250"/>
      <c r="P73" s="250"/>
      <c r="Q73" s="250"/>
      <c r="R73" s="250"/>
      <c r="S73" s="277"/>
      <c r="T73" s="277"/>
      <c r="U73" s="277"/>
      <c r="V73" s="250"/>
      <c r="W73" s="250"/>
      <c r="X73" s="250"/>
      <c r="Y73" s="250"/>
      <c r="Z73" s="250"/>
      <c r="AA73" s="250"/>
      <c r="AB73" s="264"/>
    </row>
    <row r="74" spans="2:28" hidden="1" x14ac:dyDescent="0.25">
      <c r="B74" s="265"/>
      <c r="C74" s="250"/>
      <c r="D74" s="250"/>
      <c r="E74" s="250"/>
      <c r="F74" s="250"/>
      <c r="G74" s="250"/>
      <c r="H74" s="250"/>
      <c r="I74" s="250"/>
      <c r="J74" s="250"/>
      <c r="K74" s="277"/>
      <c r="L74" s="250"/>
      <c r="M74" s="250"/>
      <c r="N74" s="250"/>
      <c r="O74" s="250"/>
      <c r="P74" s="250"/>
      <c r="Q74" s="250"/>
      <c r="R74" s="250"/>
      <c r="S74" s="277"/>
      <c r="T74" s="277"/>
      <c r="U74" s="277"/>
      <c r="V74" s="250"/>
      <c r="W74" s="250"/>
      <c r="X74" s="250"/>
      <c r="Y74" s="250"/>
      <c r="Z74" s="250"/>
      <c r="AA74" s="250"/>
      <c r="AB74" s="264"/>
    </row>
    <row r="75" spans="2:28" ht="15.75" hidden="1" customHeight="1" thickBot="1" x14ac:dyDescent="0.3">
      <c r="B75" s="265"/>
      <c r="C75" s="250"/>
      <c r="D75" s="250"/>
      <c r="E75" s="250"/>
      <c r="F75" s="250"/>
      <c r="G75" s="250"/>
      <c r="H75" s="250"/>
      <c r="I75" s="250"/>
      <c r="J75" s="250"/>
      <c r="K75" s="277"/>
      <c r="L75" s="250"/>
      <c r="M75" s="250"/>
      <c r="N75" s="250"/>
      <c r="O75" s="250"/>
      <c r="P75" s="250"/>
      <c r="Q75" s="250"/>
      <c r="R75" s="250"/>
      <c r="S75" s="277"/>
      <c r="T75" s="277"/>
      <c r="U75" s="277"/>
      <c r="V75" s="250"/>
      <c r="W75" s="250"/>
      <c r="X75" s="250"/>
      <c r="Y75" s="250"/>
      <c r="Z75" s="250"/>
      <c r="AA75" s="250"/>
      <c r="AB75" s="264"/>
    </row>
    <row r="76" spans="2:28" ht="19.5" hidden="1" thickBot="1" x14ac:dyDescent="0.3">
      <c r="B76" s="271"/>
      <c r="C76" s="789" t="str">
        <f>IF(COUNTIF(C80:C94,"&gt;=-1")=COUNTIF(O9:O23,"&gt;0"),"","**Warning: mismatch in levels of ERR_Obs &amp; P(C|X)**")</f>
        <v/>
      </c>
      <c r="G76" s="257"/>
      <c r="H76" s="257"/>
      <c r="I76" s="250"/>
      <c r="J76" s="919" t="s">
        <v>63</v>
      </c>
      <c r="K76" s="920"/>
      <c r="L76" s="920"/>
      <c r="M76" s="920"/>
      <c r="N76" s="921"/>
      <c r="O76" s="586" t="s">
        <v>65</v>
      </c>
      <c r="P76" s="250"/>
      <c r="Q76" s="250"/>
      <c r="R76" s="250"/>
      <c r="S76" s="250"/>
      <c r="T76" s="250"/>
      <c r="U76" s="250"/>
      <c r="V76" s="250"/>
      <c r="W76" s="250"/>
      <c r="X76" s="250"/>
      <c r="AA76" s="250"/>
      <c r="AB76" s="264"/>
    </row>
    <row r="77" spans="2:28" ht="19.5" hidden="1" thickBot="1" x14ac:dyDescent="0.3">
      <c r="B77" s="912" t="s">
        <v>181</v>
      </c>
      <c r="C77" s="913"/>
      <c r="D77" s="913"/>
      <c r="E77" s="913"/>
      <c r="F77" s="914"/>
      <c r="G77" s="250"/>
      <c r="H77" s="272"/>
      <c r="I77" s="272"/>
      <c r="J77" s="738">
        <v>0.1</v>
      </c>
      <c r="K77" s="739">
        <v>0.2</v>
      </c>
      <c r="L77" s="689">
        <v>0.4</v>
      </c>
      <c r="M77" s="740">
        <v>0.2</v>
      </c>
      <c r="N77" s="741">
        <v>0.1</v>
      </c>
      <c r="O77" s="688">
        <f>SUM(J77:N77)</f>
        <v>1.0000000000000002</v>
      </c>
      <c r="P77" s="250"/>
      <c r="Q77" s="250"/>
      <c r="R77" s="250"/>
      <c r="S77" s="250"/>
      <c r="T77" s="250"/>
      <c r="U77" s="250"/>
      <c r="V77" s="250"/>
      <c r="W77" s="250"/>
      <c r="X77" s="250"/>
      <c r="AA77" s="250"/>
      <c r="AB77" s="264"/>
    </row>
    <row r="78" spans="2:28" ht="16.5" hidden="1" thickBot="1" x14ac:dyDescent="0.3">
      <c r="B78" s="303" t="s">
        <v>176</v>
      </c>
      <c r="C78" s="302" t="s">
        <v>16</v>
      </c>
      <c r="D78" s="302" t="s">
        <v>92</v>
      </c>
      <c r="E78" s="302" t="s">
        <v>18</v>
      </c>
      <c r="F78" s="272"/>
      <c r="G78" s="272"/>
      <c r="H78" s="272"/>
      <c r="I78" s="272"/>
      <c r="J78" s="308" t="s">
        <v>176</v>
      </c>
      <c r="K78" s="736" t="s">
        <v>95</v>
      </c>
      <c r="L78" s="737" t="s">
        <v>27</v>
      </c>
      <c r="M78" s="737" t="s">
        <v>16</v>
      </c>
      <c r="N78" s="677" t="str">
        <f>IF(RegSm!$D$24&lt;2,"",IF(COUNTBLANK(J77:N77)&lt;5,""," Use default wgts (=0.2)"))</f>
        <v/>
      </c>
      <c r="O78" s="250"/>
      <c r="P78" s="250"/>
      <c r="Q78" s="250"/>
      <c r="R78" s="250"/>
      <c r="S78" s="250"/>
      <c r="T78" s="250"/>
      <c r="U78" s="250"/>
      <c r="V78" s="250"/>
      <c r="W78" s="250"/>
      <c r="X78" s="250"/>
      <c r="Y78" s="250"/>
      <c r="AB78" s="264"/>
    </row>
    <row r="79" spans="2:28" ht="15.75" hidden="1" thickBot="1" x14ac:dyDescent="0.3">
      <c r="B79" s="298">
        <v>0</v>
      </c>
      <c r="C79" s="203">
        <v>0</v>
      </c>
      <c r="D79" s="213">
        <v>250</v>
      </c>
      <c r="E79" s="204">
        <f t="shared" ref="E79:E94" si="40">IF(C79="","",IF(AD8=0,"",BD8 + C79))</f>
        <v>0</v>
      </c>
      <c r="F79" s="266"/>
      <c r="G79" s="266"/>
      <c r="H79" s="266"/>
      <c r="I79" s="266"/>
      <c r="J79" s="298">
        <v>0</v>
      </c>
      <c r="K79" s="204">
        <f>IF(RegSm!$D$24&lt;2,"",IF(C79="","",IF(D8="","",D8)))</f>
        <v>0</v>
      </c>
      <c r="L79" s="204">
        <f>IF(RegSm!$D$24&lt;2,"",IF(E79="","",RegSm!D177))</f>
        <v>7.3361792519999997E-2</v>
      </c>
      <c r="M79" s="204">
        <f>IF(RegSm!$D$24&lt;2,"",IF(E79="","",RegSm!E177))</f>
        <v>0.11099999999999999</v>
      </c>
      <c r="N79" s="250"/>
      <c r="O79" s="250"/>
      <c r="P79" s="250"/>
      <c r="Q79" s="250"/>
      <c r="R79" s="250"/>
      <c r="S79" s="250"/>
      <c r="T79" s="250"/>
      <c r="U79" s="250"/>
      <c r="V79" s="250"/>
      <c r="W79" s="250"/>
      <c r="X79" s="250"/>
      <c r="Y79" s="250"/>
      <c r="AB79" s="264"/>
    </row>
    <row r="80" spans="2:28" hidden="1" x14ac:dyDescent="0.25">
      <c r="B80" s="299">
        <v>1</v>
      </c>
      <c r="C80" s="220">
        <v>0.26</v>
      </c>
      <c r="D80" s="220">
        <v>678.59253852182269</v>
      </c>
      <c r="E80" s="576">
        <f t="shared" si="40"/>
        <v>0.1806779432</v>
      </c>
      <c r="F80" s="266"/>
      <c r="G80" s="266"/>
      <c r="H80" s="266"/>
      <c r="I80" s="266"/>
      <c r="J80" s="299">
        <v>1</v>
      </c>
      <c r="K80" s="578">
        <f>IF(RegSm!$D$24&lt;2,"",IF(C80="","",IF(D9="","",D9)))</f>
        <v>6.6524299999999998</v>
      </c>
      <c r="L80" s="212">
        <f>IF(RegSm!$D$24&lt;2,"",IF(E80="","",RegSm!D178))</f>
        <v>0.19053133747999995</v>
      </c>
      <c r="M80" s="212">
        <f>IF(RegSm!$D$24&lt;2,"",IF(E80="","",RegSm!E178))</f>
        <v>0.28899999999999998</v>
      </c>
      <c r="N80" s="250"/>
      <c r="O80" s="250"/>
      <c r="P80" s="250"/>
      <c r="Q80" s="250"/>
      <c r="R80" s="250"/>
      <c r="S80" s="250"/>
      <c r="T80" s="250"/>
      <c r="U80" s="250"/>
      <c r="V80" s="250"/>
      <c r="W80" s="250"/>
      <c r="X80" s="250"/>
      <c r="Y80" s="250"/>
      <c r="AB80" s="264"/>
    </row>
    <row r="81" spans="2:28" hidden="1" x14ac:dyDescent="0.25">
      <c r="B81" s="300">
        <v>2</v>
      </c>
      <c r="C81" s="220">
        <v>0.59000000000000008</v>
      </c>
      <c r="D81" s="220">
        <v>269.8590076390488</v>
      </c>
      <c r="E81" s="212">
        <f t="shared" si="40"/>
        <v>0.37226203880000008</v>
      </c>
      <c r="F81" s="266"/>
      <c r="G81" s="266"/>
      <c r="H81" s="266"/>
      <c r="I81" s="266"/>
      <c r="J81" s="300">
        <v>2</v>
      </c>
      <c r="K81" s="578">
        <f>IF(RegSm!$D$24&lt;2,"",IF(C81="","",IF(D10="","",D10)))</f>
        <v>23.531600000000001</v>
      </c>
      <c r="L81" s="212">
        <f>IF(RegSm!$D$24&lt;2,"",IF(E81="","",RegSm!D179))</f>
        <v>0.33725429839999999</v>
      </c>
      <c r="M81" s="212">
        <f>IF(RegSm!$D$24&lt;2,"",IF(E81="","",RegSm!E179))</f>
        <v>0.51999999999999991</v>
      </c>
      <c r="N81" s="250"/>
      <c r="O81" s="250"/>
      <c r="P81" s="250"/>
      <c r="Q81" s="250"/>
      <c r="R81" s="250"/>
      <c r="S81" s="250"/>
      <c r="T81" s="250"/>
      <c r="U81" s="250"/>
      <c r="V81" s="250"/>
      <c r="W81" s="250"/>
      <c r="X81" s="250"/>
      <c r="Y81" s="250"/>
      <c r="AB81" s="264"/>
    </row>
    <row r="82" spans="2:28" hidden="1" x14ac:dyDescent="0.25">
      <c r="B82" s="300">
        <v>3</v>
      </c>
      <c r="C82" s="220">
        <v>0.66999999999999993</v>
      </c>
      <c r="D82" s="220">
        <v>204.84423461094022</v>
      </c>
      <c r="E82" s="212">
        <f t="shared" si="40"/>
        <v>0.43807752439999997</v>
      </c>
      <c r="F82" s="266"/>
      <c r="G82" s="266"/>
      <c r="H82" s="266"/>
      <c r="I82" s="266"/>
      <c r="J82" s="300">
        <v>3</v>
      </c>
      <c r="K82" s="578">
        <f>IF(RegSm!$D$24&lt;2,"",IF(C82="","",IF(D11="","",D11)))</f>
        <v>33.539400000000001</v>
      </c>
      <c r="L82" s="212">
        <f>IF(RegSm!$D$24&lt;2,"",IF(E82="","",RegSm!D180))</f>
        <v>0.47639463831999984</v>
      </c>
      <c r="M82" s="212">
        <f>IF(RegSm!$D$24&lt;2,"",IF(E82="","",RegSm!E180))</f>
        <v>0.72599999999999987</v>
      </c>
      <c r="N82" s="250"/>
      <c r="O82" s="250"/>
      <c r="P82" s="250"/>
      <c r="Q82" s="250"/>
      <c r="R82" s="250"/>
      <c r="S82" s="250"/>
      <c r="T82" s="250"/>
      <c r="U82" s="250"/>
      <c r="V82" s="250"/>
      <c r="W82" s="250"/>
      <c r="X82" s="250"/>
      <c r="Y82" s="250"/>
      <c r="AB82" s="264"/>
    </row>
    <row r="83" spans="2:28" hidden="1" x14ac:dyDescent="0.25">
      <c r="B83" s="300">
        <v>4</v>
      </c>
      <c r="C83" s="220">
        <v>0.98</v>
      </c>
      <c r="D83" s="220">
        <v>174.89185122952264</v>
      </c>
      <c r="E83" s="212">
        <f t="shared" si="40"/>
        <v>0.64598389359999997</v>
      </c>
      <c r="F83" s="266"/>
      <c r="G83" s="266"/>
      <c r="H83" s="266"/>
      <c r="I83" s="266"/>
      <c r="J83" s="300">
        <v>4</v>
      </c>
      <c r="K83" s="578">
        <f>IF(RegSm!$D$24&lt;2,"",IF(C83="","",IF(D12="","",D12)))</f>
        <v>43.674599999999998</v>
      </c>
      <c r="L83" s="212">
        <f>IF(RegSm!$D$24&lt;2,"",IF(E83="","",RegSm!D181))</f>
        <v>0.6268397900399999</v>
      </c>
      <c r="M83" s="212">
        <f>IF(RegSm!$D$24&lt;2,"",IF(E83="","",RegSm!E181))</f>
        <v>0.94699999999999973</v>
      </c>
      <c r="N83" s="250"/>
      <c r="O83" s="250"/>
      <c r="P83" s="250"/>
      <c r="Q83" s="250"/>
      <c r="R83" s="250"/>
      <c r="S83" s="250"/>
      <c r="T83" s="250"/>
      <c r="U83" s="250"/>
      <c r="V83" s="250"/>
      <c r="W83" s="250"/>
      <c r="X83" s="250"/>
      <c r="Y83" s="250"/>
      <c r="AB83" s="264"/>
    </row>
    <row r="84" spans="2:28" hidden="1" x14ac:dyDescent="0.25">
      <c r="B84" s="300">
        <v>5</v>
      </c>
      <c r="C84" s="220">
        <v>1.1800000000000002</v>
      </c>
      <c r="D84" s="220">
        <v>80.342980609274747</v>
      </c>
      <c r="E84" s="212">
        <f t="shared" si="40"/>
        <v>0.79446647760000011</v>
      </c>
      <c r="F84" s="266"/>
      <c r="G84" s="266"/>
      <c r="H84" s="266"/>
      <c r="I84" s="266"/>
      <c r="J84" s="300">
        <v>5</v>
      </c>
      <c r="K84" s="578">
        <f>IF(RegSm!$D$24&lt;2,"",IF(C84="","",IF(D13="","",D13)))</f>
        <v>53.618000000000002</v>
      </c>
      <c r="L84" s="212">
        <f>IF(RegSm!$D$24&lt;2,"",IF(E84="","",RegSm!D182))</f>
        <v>0.74492480715999998</v>
      </c>
      <c r="M84" s="212">
        <f>IF(RegSm!$D$24&lt;2,"",IF(E84="","",RegSm!E182))</f>
        <v>1.1129999999999998</v>
      </c>
      <c r="N84" s="250"/>
      <c r="O84" s="250"/>
      <c r="P84" s="250"/>
      <c r="Q84" s="250"/>
      <c r="R84" s="250"/>
      <c r="S84" s="250"/>
      <c r="T84" s="250"/>
      <c r="U84" s="250"/>
      <c r="V84" s="250"/>
      <c r="W84" s="250"/>
      <c r="X84" s="250"/>
      <c r="Y84" s="250"/>
      <c r="AB84" s="264"/>
    </row>
    <row r="85" spans="2:28" hidden="1" x14ac:dyDescent="0.25">
      <c r="B85" s="300">
        <v>6</v>
      </c>
      <c r="C85" s="220">
        <v>1.2599999999999998</v>
      </c>
      <c r="D85" s="220">
        <v>192.45506233444695</v>
      </c>
      <c r="E85" s="212">
        <f t="shared" si="40"/>
        <v>0.84711228319999987</v>
      </c>
      <c r="F85" s="266"/>
      <c r="G85" s="266"/>
      <c r="H85" s="266"/>
      <c r="I85" s="266"/>
      <c r="J85" s="300">
        <v>6</v>
      </c>
      <c r="K85" s="578">
        <f>IF(RegSm!$D$24&lt;2,"",IF(C85="","",IF(D14="","",D14)))</f>
        <v>80.8767</v>
      </c>
      <c r="L85" s="212">
        <f>IF(RegSm!$D$24&lt;2,"",IF(E85="","",RegSm!D183))</f>
        <v>0.81647028311999981</v>
      </c>
      <c r="M85" s="212">
        <f>IF(RegSm!$D$24&lt;2,"",IF(E85="","",RegSm!E183))</f>
        <v>1.2159999999999995</v>
      </c>
      <c r="N85" s="250"/>
      <c r="O85" s="250"/>
      <c r="P85" s="250"/>
      <c r="Q85" s="250"/>
      <c r="R85" s="250"/>
      <c r="S85" s="250"/>
      <c r="T85" s="250"/>
      <c r="U85" s="250"/>
      <c r="V85" s="250"/>
      <c r="W85" s="250"/>
      <c r="X85" s="250"/>
      <c r="Y85" s="250"/>
      <c r="AB85" s="264"/>
    </row>
    <row r="86" spans="2:28" hidden="1" x14ac:dyDescent="0.25">
      <c r="B86" s="300">
        <v>7</v>
      </c>
      <c r="C86" s="220"/>
      <c r="D86" s="220"/>
      <c r="E86" s="212" t="str">
        <f t="shared" si="40"/>
        <v/>
      </c>
      <c r="F86" s="266"/>
      <c r="G86" s="266"/>
      <c r="H86" s="266"/>
      <c r="I86" s="266"/>
      <c r="J86" s="300">
        <v>7</v>
      </c>
      <c r="K86" s="578" t="str">
        <f>IF(RegSm!$D$24&lt;2,"",IF(C86="","",IF(D15="","",D15)))</f>
        <v/>
      </c>
      <c r="L86" s="212" t="str">
        <f>IF(RegSm!$D$24&lt;2,"",IF(E86="","",RegSm!D184))</f>
        <v/>
      </c>
      <c r="M86" s="212" t="str">
        <f>IF(RegSm!$D$24&lt;2,"",IF(E86="","",RegSm!E184))</f>
        <v/>
      </c>
      <c r="N86" s="250"/>
      <c r="O86" s="250"/>
      <c r="P86" s="250"/>
      <c r="Q86" s="250"/>
      <c r="R86" s="250"/>
      <c r="S86" s="250"/>
      <c r="T86" s="250"/>
      <c r="U86" s="250"/>
      <c r="V86" s="250"/>
      <c r="W86" s="250"/>
      <c r="X86" s="250"/>
      <c r="Y86" s="250"/>
      <c r="AB86" s="264"/>
    </row>
    <row r="87" spans="2:28" hidden="1" x14ac:dyDescent="0.25">
      <c r="B87" s="300">
        <v>8</v>
      </c>
      <c r="C87" s="220"/>
      <c r="D87" s="220"/>
      <c r="E87" s="212" t="str">
        <f t="shared" si="40"/>
        <v/>
      </c>
      <c r="F87" s="266"/>
      <c r="G87" s="266"/>
      <c r="H87" s="266"/>
      <c r="I87" s="266"/>
      <c r="J87" s="300">
        <v>8</v>
      </c>
      <c r="K87" s="578" t="str">
        <f>IF(RegSm!$D$24&lt;2,"",IF(C87="","",IF(D16="","",D16)))</f>
        <v/>
      </c>
      <c r="L87" s="212" t="str">
        <f>IF(RegSm!$D$24&lt;2,"",IF(E87="","",RegSm!D185))</f>
        <v/>
      </c>
      <c r="M87" s="212" t="str">
        <f>IF(RegSm!$D$24&lt;2,"",IF(E87="","",RegSm!E185))</f>
        <v/>
      </c>
      <c r="N87" s="250"/>
      <c r="O87" s="250"/>
      <c r="P87" s="250"/>
      <c r="Q87" s="250"/>
      <c r="R87" s="250"/>
      <c r="S87" s="250"/>
      <c r="T87" s="250"/>
      <c r="U87" s="250"/>
      <c r="V87" s="250"/>
      <c r="W87" s="250"/>
      <c r="X87" s="250"/>
      <c r="Y87" s="250"/>
      <c r="AB87" s="264"/>
    </row>
    <row r="88" spans="2:28" hidden="1" x14ac:dyDescent="0.25">
      <c r="B88" s="300">
        <v>9</v>
      </c>
      <c r="C88" s="220"/>
      <c r="D88" s="220"/>
      <c r="E88" s="212" t="str">
        <f t="shared" si="40"/>
        <v/>
      </c>
      <c r="F88" s="266"/>
      <c r="G88" s="266"/>
      <c r="H88" s="266"/>
      <c r="I88" s="266"/>
      <c r="J88" s="300">
        <v>9</v>
      </c>
      <c r="K88" s="578" t="str">
        <f>IF(RegSm!$D$24&lt;2,"",IF(C88="","",IF(D17="","",D17)))</f>
        <v/>
      </c>
      <c r="L88" s="212" t="str">
        <f>IF(RegSm!$D$24&lt;2,"",IF(E88="","",RegSm!D186))</f>
        <v/>
      </c>
      <c r="M88" s="212" t="str">
        <f>IF(RegSm!$D$24&lt;2,"",IF(E88="","",RegSm!E186))</f>
        <v/>
      </c>
      <c r="N88" s="250"/>
      <c r="O88" s="250"/>
      <c r="P88" s="250"/>
      <c r="Q88" s="250"/>
      <c r="R88" s="250"/>
      <c r="S88" s="250"/>
      <c r="T88" s="250"/>
      <c r="U88" s="250"/>
      <c r="V88" s="250"/>
      <c r="W88" s="250"/>
      <c r="X88" s="250"/>
      <c r="Y88" s="250"/>
      <c r="AB88" s="264"/>
    </row>
    <row r="89" spans="2:28" hidden="1" x14ac:dyDescent="0.25">
      <c r="B89" s="300">
        <v>10</v>
      </c>
      <c r="C89" s="220"/>
      <c r="D89" s="220"/>
      <c r="E89" s="212" t="str">
        <f t="shared" si="40"/>
        <v/>
      </c>
      <c r="F89" s="266"/>
      <c r="G89" s="266"/>
      <c r="H89" s="266"/>
      <c r="I89" s="266"/>
      <c r="J89" s="300">
        <v>10</v>
      </c>
      <c r="K89" s="578" t="str">
        <f>IF(RegSm!$D$24&lt;2,"",IF(C89="","",IF(D18="","",D18)))</f>
        <v/>
      </c>
      <c r="L89" s="212" t="str">
        <f>IF(RegSm!$D$24&lt;2,"",IF(E89="","",RegSm!D187))</f>
        <v/>
      </c>
      <c r="M89" s="212" t="str">
        <f>IF(RegSm!$D$24&lt;2,"",IF(E89="","",RegSm!E187))</f>
        <v/>
      </c>
      <c r="N89" s="250"/>
      <c r="O89" s="250"/>
      <c r="P89" s="250"/>
      <c r="Q89" s="250"/>
      <c r="R89" s="250"/>
      <c r="S89" s="250"/>
      <c r="T89" s="250"/>
      <c r="U89" s="250"/>
      <c r="V89" s="250"/>
      <c r="W89" s="250"/>
      <c r="X89" s="250"/>
      <c r="Y89" s="250"/>
      <c r="AB89" s="264"/>
    </row>
    <row r="90" spans="2:28" hidden="1" x14ac:dyDescent="0.25">
      <c r="B90" s="300">
        <v>11</v>
      </c>
      <c r="C90" s="220"/>
      <c r="D90" s="220"/>
      <c r="E90" s="212" t="str">
        <f t="shared" si="40"/>
        <v/>
      </c>
      <c r="F90" s="266"/>
      <c r="G90" s="266"/>
      <c r="H90" s="266"/>
      <c r="I90" s="266"/>
      <c r="J90" s="300">
        <v>11</v>
      </c>
      <c r="K90" s="578" t="str">
        <f>IF(RegSm!$D$24&lt;2,"",IF(C90="","",IF(D19="","",D19)))</f>
        <v/>
      </c>
      <c r="L90" s="212" t="str">
        <f>IF(RegSm!$D$24&lt;2,"",IF(E90="","",RegSm!D188))</f>
        <v/>
      </c>
      <c r="M90" s="212" t="str">
        <f>IF(RegSm!$D$24&lt;2,"",IF(E90="","",RegSm!E188))</f>
        <v/>
      </c>
      <c r="N90" s="250"/>
      <c r="O90" s="250"/>
      <c r="P90" s="250"/>
      <c r="Q90" s="250"/>
      <c r="R90" s="250"/>
      <c r="S90" s="250"/>
      <c r="T90" s="250"/>
      <c r="U90" s="250"/>
      <c r="V90" s="250"/>
      <c r="W90" s="250"/>
      <c r="X90" s="250"/>
      <c r="Y90" s="250"/>
      <c r="AB90" s="264"/>
    </row>
    <row r="91" spans="2:28" hidden="1" x14ac:dyDescent="0.25">
      <c r="B91" s="300">
        <v>12</v>
      </c>
      <c r="C91" s="220"/>
      <c r="D91" s="220"/>
      <c r="E91" s="212" t="str">
        <f t="shared" si="40"/>
        <v/>
      </c>
      <c r="F91" s="266"/>
      <c r="G91" s="266"/>
      <c r="H91" s="266"/>
      <c r="I91" s="266"/>
      <c r="J91" s="300">
        <v>12</v>
      </c>
      <c r="K91" s="578" t="str">
        <f>IF(RegSm!$D$24&lt;2,"",IF(C91="","",IF(D20="","",D20)))</f>
        <v/>
      </c>
      <c r="L91" s="212" t="str">
        <f>IF(RegSm!$D$24&lt;2,"",IF(E91="","",RegSm!D189))</f>
        <v/>
      </c>
      <c r="M91" s="212" t="str">
        <f>IF(RegSm!$D$24&lt;2,"",IF(E91="","",RegSm!E189))</f>
        <v/>
      </c>
      <c r="N91" s="250"/>
      <c r="O91" s="250"/>
      <c r="P91" s="250"/>
      <c r="Q91" s="250"/>
      <c r="R91" s="250"/>
      <c r="S91" s="250"/>
      <c r="T91" s="250"/>
      <c r="U91" s="250"/>
      <c r="V91" s="250"/>
      <c r="W91" s="250"/>
      <c r="X91" s="250"/>
      <c r="Y91" s="250"/>
      <c r="AB91" s="264"/>
    </row>
    <row r="92" spans="2:28" hidden="1" x14ac:dyDescent="0.25">
      <c r="B92" s="300">
        <v>13</v>
      </c>
      <c r="C92" s="220"/>
      <c r="D92" s="220"/>
      <c r="E92" s="212" t="str">
        <f t="shared" si="40"/>
        <v/>
      </c>
      <c r="F92" s="266"/>
      <c r="G92" s="266"/>
      <c r="H92" s="266"/>
      <c r="I92" s="266"/>
      <c r="J92" s="300">
        <v>13</v>
      </c>
      <c r="K92" s="578" t="str">
        <f>IF(RegSm!$D$24&lt;2,"",IF(C92="","",IF(D21="","",D21)))</f>
        <v/>
      </c>
      <c r="L92" s="212" t="str">
        <f>IF(RegSm!$D$24&lt;2,"",IF(E92="","",RegSm!D190))</f>
        <v/>
      </c>
      <c r="M92" s="212" t="str">
        <f>IF(RegSm!$D$24&lt;2,"",IF(E92="","",RegSm!E190))</f>
        <v/>
      </c>
      <c r="N92" s="250"/>
      <c r="O92" s="250"/>
      <c r="P92" s="250"/>
      <c r="Q92" s="250"/>
      <c r="R92" s="250"/>
      <c r="S92" s="250"/>
      <c r="T92" s="250"/>
      <c r="U92" s="250"/>
      <c r="V92" s="250"/>
      <c r="W92" s="250"/>
      <c r="X92" s="250"/>
      <c r="Y92" s="250"/>
      <c r="AB92" s="264"/>
    </row>
    <row r="93" spans="2:28" hidden="1" x14ac:dyDescent="0.25">
      <c r="B93" s="300">
        <v>14</v>
      </c>
      <c r="C93" s="220"/>
      <c r="D93" s="220"/>
      <c r="E93" s="212" t="str">
        <f t="shared" si="40"/>
        <v/>
      </c>
      <c r="F93" s="266"/>
      <c r="G93" s="266"/>
      <c r="H93" s="266"/>
      <c r="I93" s="266"/>
      <c r="J93" s="300">
        <v>14</v>
      </c>
      <c r="K93" s="578" t="str">
        <f>IF(RegSm!$D$24&lt;2,"",IF(C93="","",IF(D22="","",D22)))</f>
        <v/>
      </c>
      <c r="L93" s="212" t="str">
        <f>IF(RegSm!$D$24&lt;2,"",IF(E93="","",RegSm!D191))</f>
        <v/>
      </c>
      <c r="M93" s="212" t="str">
        <f>IF(RegSm!$D$24&lt;2,"",IF(E93="","",RegSm!E191))</f>
        <v/>
      </c>
      <c r="N93" s="250"/>
      <c r="O93" s="250"/>
      <c r="P93" s="250"/>
      <c r="Q93" s="250"/>
      <c r="R93" s="250"/>
      <c r="S93" s="250"/>
      <c r="T93" s="250"/>
      <c r="U93" s="250"/>
      <c r="V93" s="250"/>
      <c r="W93" s="250"/>
      <c r="X93" s="250"/>
      <c r="Y93" s="250"/>
      <c r="AB93" s="264"/>
    </row>
    <row r="94" spans="2:28" ht="15.75" hidden="1" thickBot="1" x14ac:dyDescent="0.3">
      <c r="B94" s="301">
        <v>15</v>
      </c>
      <c r="C94" s="221"/>
      <c r="D94" s="221"/>
      <c r="E94" s="208" t="str">
        <f t="shared" si="40"/>
        <v/>
      </c>
      <c r="F94" s="266"/>
      <c r="G94" s="266"/>
      <c r="H94" s="266"/>
      <c r="I94" s="266"/>
      <c r="J94" s="301">
        <v>15</v>
      </c>
      <c r="K94" s="579" t="str">
        <f>IF(RegSm!$D$24&lt;2,"",IF(C94="","",IF(D23="","",D23)))</f>
        <v/>
      </c>
      <c r="L94" s="208" t="str">
        <f>IF(RegSm!$D$24&lt;2,"",IF(E94="","",RegSm!D192))</f>
        <v/>
      </c>
      <c r="M94" s="208" t="str">
        <f>IF(RegSm!$D$24&lt;2,"",IF(E94="","",RegSm!E192))</f>
        <v/>
      </c>
      <c r="N94" s="250"/>
      <c r="O94" s="250"/>
      <c r="P94" s="250"/>
      <c r="Q94" s="250"/>
      <c r="R94" s="250"/>
      <c r="S94" s="250"/>
      <c r="T94" s="250"/>
      <c r="U94" s="250"/>
      <c r="V94" s="250"/>
      <c r="W94" s="250"/>
      <c r="X94" s="250"/>
      <c r="Y94" s="250"/>
      <c r="AB94" s="264"/>
    </row>
    <row r="95" spans="2:28" ht="20.25" hidden="1" customHeight="1" x14ac:dyDescent="0.25">
      <c r="B95" s="340"/>
      <c r="C95" s="341"/>
      <c r="D95" s="341"/>
      <c r="E95" s="341"/>
      <c r="F95" s="338"/>
      <c r="G95" s="338"/>
      <c r="H95" s="250"/>
      <c r="I95" s="250"/>
      <c r="J95" s="250"/>
      <c r="K95" s="250"/>
      <c r="L95" s="887" t="str">
        <f>IF(RegSm!$D$24&gt;1,"Note: plots use the Excel 'smooth line' style","")</f>
        <v>Note: plots use the Excel 'smooth line' style</v>
      </c>
      <c r="M95" s="250"/>
      <c r="N95" s="250"/>
      <c r="O95" s="250"/>
      <c r="P95" s="250"/>
      <c r="Q95" s="250"/>
      <c r="R95" s="250"/>
      <c r="S95" s="250"/>
      <c r="T95" s="250"/>
      <c r="U95" s="250"/>
      <c r="V95" s="250"/>
      <c r="W95" s="250"/>
      <c r="X95" s="250"/>
      <c r="Y95" s="250"/>
      <c r="AB95" s="264"/>
    </row>
    <row r="96" spans="2:28" ht="20.25" hidden="1" customHeight="1" x14ac:dyDescent="0.25">
      <c r="B96" s="340"/>
      <c r="C96" s="341"/>
      <c r="D96" s="341"/>
      <c r="E96" s="341"/>
      <c r="F96" s="338"/>
      <c r="G96" s="338"/>
      <c r="H96" s="338"/>
      <c r="I96" s="250"/>
      <c r="J96" s="526" t="str">
        <f>IF(RegSm!$D$24&lt;2,"",IF(RegSm!B24&lt;=1,"",IF( ((RegSm!D24 = RegSm!B24)*(RegSm!B25 = RegSm!B24) )=1,"","** Error: Mismatch in ERR_Obs, ERR_X &amp; X scores **")))</f>
        <v/>
      </c>
      <c r="K96" s="250"/>
      <c r="L96" s="250"/>
      <c r="M96" s="250"/>
      <c r="N96" s="250"/>
      <c r="O96" s="250"/>
      <c r="P96" s="250"/>
      <c r="Q96" s="250"/>
      <c r="R96" s="250"/>
      <c r="S96" s="250"/>
      <c r="T96" s="250"/>
      <c r="U96" s="250"/>
      <c r="V96" s="250"/>
      <c r="W96" s="250"/>
      <c r="X96" s="250"/>
      <c r="Y96" s="250"/>
      <c r="Z96" s="250"/>
      <c r="AA96" s="250"/>
      <c r="AB96" s="264"/>
    </row>
    <row r="97" spans="2:30" ht="20.25" hidden="1" customHeight="1" thickBot="1" x14ac:dyDescent="0.3">
      <c r="B97" s="340"/>
      <c r="C97" s="341"/>
      <c r="D97" s="341"/>
      <c r="E97" s="341"/>
      <c r="F97" s="338"/>
      <c r="G97" s="338"/>
      <c r="H97" s="338"/>
      <c r="I97" s="338"/>
      <c r="J97" s="526"/>
      <c r="K97" s="250"/>
      <c r="L97" s="250"/>
      <c r="M97" s="250"/>
      <c r="N97" s="250"/>
      <c r="O97" s="250"/>
      <c r="P97" s="250"/>
      <c r="Q97" s="250"/>
      <c r="R97" s="250"/>
      <c r="S97" s="250"/>
      <c r="T97" s="250"/>
      <c r="U97" s="250"/>
      <c r="V97" s="250"/>
      <c r="W97" s="250"/>
      <c r="X97" s="250"/>
      <c r="Y97" s="250"/>
      <c r="Z97" s="250"/>
      <c r="AA97" s="250"/>
      <c r="AB97" s="264"/>
      <c r="AC97" s="250"/>
      <c r="AD97" s="250"/>
    </row>
    <row r="98" spans="2:30" ht="19.5" hidden="1" thickBot="1" x14ac:dyDescent="0.3">
      <c r="B98" s="265"/>
      <c r="C98" s="250"/>
      <c r="D98" s="250"/>
      <c r="E98" s="250"/>
      <c r="F98" s="250"/>
      <c r="G98" s="250"/>
      <c r="H98" s="250"/>
      <c r="I98" s="250"/>
      <c r="J98" s="923" t="s">
        <v>267</v>
      </c>
      <c r="K98" s="924"/>
      <c r="L98" s="924"/>
      <c r="M98" s="925"/>
      <c r="N98" s="250"/>
      <c r="O98" s="250"/>
      <c r="P98" s="250"/>
      <c r="Q98" s="250"/>
      <c r="R98" s="250"/>
      <c r="S98" s="250"/>
      <c r="T98" s="250"/>
      <c r="U98" s="250"/>
      <c r="V98" s="250"/>
      <c r="W98" s="250"/>
      <c r="X98" s="250"/>
      <c r="Y98" s="250"/>
      <c r="Z98" s="250"/>
      <c r="AA98" s="250"/>
      <c r="AB98" s="264"/>
      <c r="AC98" s="250"/>
      <c r="AD98" s="250"/>
    </row>
    <row r="99" spans="2:30" ht="16.5" hidden="1" thickBot="1" x14ac:dyDescent="0.3">
      <c r="B99" s="265"/>
      <c r="C99" s="250"/>
      <c r="D99" s="250"/>
      <c r="E99" s="250"/>
      <c r="F99" s="250"/>
      <c r="G99" s="250"/>
      <c r="H99" s="250"/>
      <c r="I99" s="283" t="s">
        <v>218</v>
      </c>
      <c r="J99" s="735" t="s">
        <v>55</v>
      </c>
      <c r="K99" s="213">
        <v>0</v>
      </c>
      <c r="L99" s="917" t="s">
        <v>80</v>
      </c>
      <c r="M99" s="918"/>
      <c r="N99" s="311" t="str">
        <f>IF(K99 &lt;&gt;1,IF(K99&lt;&gt;0," **Error: Value must = 1 or 0**",""),"")</f>
        <v/>
      </c>
      <c r="O99" s="250"/>
      <c r="P99" s="250"/>
      <c r="Q99" s="250"/>
      <c r="R99" s="250"/>
      <c r="S99" s="250"/>
      <c r="T99" s="250"/>
      <c r="U99" s="250"/>
      <c r="V99" s="250"/>
      <c r="W99" s="250"/>
      <c r="X99" s="250"/>
      <c r="Y99" s="250"/>
      <c r="Z99" s="250"/>
      <c r="AA99" s="250"/>
      <c r="AB99" s="264"/>
      <c r="AC99" s="250"/>
      <c r="AD99" s="250"/>
    </row>
    <row r="100" spans="2:30" ht="16.5" hidden="1" thickBot="1" x14ac:dyDescent="0.3">
      <c r="B100" s="265"/>
      <c r="C100" s="250"/>
      <c r="D100" s="250"/>
      <c r="E100" s="250"/>
      <c r="F100" s="250"/>
      <c r="G100" s="250"/>
      <c r="H100" s="250"/>
      <c r="I100" s="296" t="s">
        <v>216</v>
      </c>
      <c r="J100" s="910" t="s">
        <v>298</v>
      </c>
      <c r="K100" s="911"/>
      <c r="L100" s="250"/>
      <c r="M100" s="337"/>
      <c r="N100" s="677" t="str">
        <f>IF(RegSm!$D$24&lt;2,"",IF(RegSm!A119=16," Use default weights (=1.0)",IF(COUNTIF(C79:C94,"&gt;-1")&lt;=COUNTIF(D79:D94,"&gt;-1"),"","Neg/blank wgts set to zero")))</f>
        <v/>
      </c>
      <c r="O100" s="250"/>
      <c r="P100" s="250"/>
      <c r="Q100" s="250"/>
      <c r="R100" s="250"/>
      <c r="S100" s="250"/>
      <c r="T100" s="250"/>
      <c r="U100" s="250"/>
      <c r="V100" s="250"/>
      <c r="W100" s="250"/>
      <c r="X100" s="250"/>
      <c r="Y100" s="250"/>
      <c r="Z100" s="250"/>
      <c r="AA100" s="250"/>
      <c r="AB100" s="264"/>
      <c r="AC100" s="250"/>
      <c r="AD100" s="250"/>
    </row>
    <row r="101" spans="2:30" hidden="1" x14ac:dyDescent="0.25">
      <c r="B101" s="265"/>
      <c r="C101" s="250"/>
      <c r="D101" s="250"/>
      <c r="E101" s="250"/>
      <c r="F101" s="250"/>
      <c r="G101" s="250"/>
      <c r="H101" s="250"/>
      <c r="I101" s="342" t="s">
        <v>217</v>
      </c>
      <c r="J101" s="212">
        <f>IF(RegSm!$D$24&lt;2,"",IF(J96="",RegSm!C137,""))</f>
        <v>0</v>
      </c>
      <c r="K101" s="212">
        <f>IF(RegSm!$D$24&lt;2,"",IF(J96="",RegSm!E137,""))</f>
        <v>0</v>
      </c>
      <c r="L101" s="295"/>
      <c r="M101" s="337"/>
      <c r="N101" s="250"/>
      <c r="O101" s="250"/>
      <c r="P101" s="250"/>
      <c r="Q101" s="250"/>
      <c r="R101" s="250"/>
      <c r="S101" s="250"/>
      <c r="T101" s="250"/>
      <c r="U101" s="250"/>
      <c r="V101" s="250"/>
      <c r="W101" s="250"/>
      <c r="X101" s="250"/>
      <c r="Y101" s="250"/>
      <c r="Z101" s="250"/>
      <c r="AA101" s="250"/>
      <c r="AB101" s="264"/>
      <c r="AC101" s="250"/>
      <c r="AD101" s="250"/>
    </row>
    <row r="102" spans="2:30" ht="15.75" hidden="1" thickBot="1" x14ac:dyDescent="0.3">
      <c r="B102" s="265"/>
      <c r="C102" s="250"/>
      <c r="D102" s="250"/>
      <c r="E102" s="250"/>
      <c r="F102" s="250"/>
      <c r="G102" s="250"/>
      <c r="H102" s="250"/>
      <c r="I102" s="250"/>
      <c r="J102" s="208">
        <f>IF(RegSm!$D$24&lt;2,"",IF(J96="",RegSm!D137,""))</f>
        <v>1.2417098255952984E-2</v>
      </c>
      <c r="K102" s="208">
        <f>IF(RegSm!$D$24&lt;2,"",IF(J96="",RegSm!F137,""))</f>
        <v>1.8673666993787776E-2</v>
      </c>
      <c r="L102" s="250"/>
      <c r="M102" s="337"/>
      <c r="N102" s="250"/>
      <c r="O102" s="250"/>
      <c r="P102" s="250"/>
      <c r="Q102" s="250"/>
      <c r="R102" s="250"/>
      <c r="S102" s="250"/>
      <c r="T102" s="250"/>
      <c r="U102" s="250"/>
      <c r="V102" s="250"/>
      <c r="W102" s="250"/>
      <c r="X102" s="250"/>
      <c r="Y102" s="250"/>
      <c r="Z102" s="250"/>
      <c r="AA102" s="250"/>
      <c r="AB102" s="264"/>
      <c r="AC102" s="250"/>
      <c r="AD102" s="250"/>
    </row>
    <row r="103" spans="2:30" hidden="1" x14ac:dyDescent="0.25">
      <c r="B103" s="265"/>
      <c r="C103" s="250"/>
      <c r="D103" s="250"/>
      <c r="E103" s="250"/>
      <c r="F103" s="250"/>
      <c r="G103" s="250"/>
      <c r="H103" s="250"/>
      <c r="I103" s="250"/>
      <c r="J103" s="250"/>
      <c r="K103" s="250"/>
      <c r="L103" s="250"/>
      <c r="M103" s="337"/>
      <c r="N103" s="250"/>
      <c r="O103" s="250"/>
      <c r="P103" s="250"/>
      <c r="Q103" s="250"/>
      <c r="R103" s="250"/>
      <c r="S103" s="250"/>
      <c r="T103" s="250"/>
      <c r="U103" s="250"/>
      <c r="V103" s="250"/>
      <c r="W103" s="250"/>
      <c r="X103" s="250"/>
      <c r="Y103" s="250"/>
      <c r="Z103" s="250"/>
      <c r="AA103" s="250"/>
      <c r="AB103" s="264"/>
    </row>
    <row r="104" spans="2:30" hidden="1" x14ac:dyDescent="0.25">
      <c r="B104" s="265"/>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64"/>
    </row>
    <row r="105" spans="2:30" hidden="1" x14ac:dyDescent="0.25">
      <c r="B105" s="265"/>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64"/>
    </row>
    <row r="106" spans="2:30" hidden="1" x14ac:dyDescent="0.25">
      <c r="B106" s="265"/>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64"/>
    </row>
    <row r="107" spans="2:30" hidden="1" x14ac:dyDescent="0.25">
      <c r="B107" s="265"/>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64"/>
    </row>
    <row r="108" spans="2:30" hidden="1" x14ac:dyDescent="0.25">
      <c r="B108" s="265"/>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64"/>
    </row>
    <row r="109" spans="2:30" hidden="1" x14ac:dyDescent="0.25">
      <c r="B109" s="265"/>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64"/>
    </row>
    <row r="110" spans="2:30" hidden="1" x14ac:dyDescent="0.25">
      <c r="B110" s="265"/>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64"/>
    </row>
    <row r="111" spans="2:30" hidden="1" x14ac:dyDescent="0.25">
      <c r="B111" s="265"/>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64"/>
    </row>
    <row r="112" spans="2:30" hidden="1" x14ac:dyDescent="0.25">
      <c r="B112" s="265"/>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64"/>
    </row>
    <row r="113" spans="2:28" hidden="1" x14ac:dyDescent="0.25">
      <c r="B113" s="265"/>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64"/>
    </row>
    <row r="114" spans="2:28" hidden="1" x14ac:dyDescent="0.25">
      <c r="B114" s="265"/>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64"/>
    </row>
    <row r="115" spans="2:28" hidden="1" x14ac:dyDescent="0.25">
      <c r="B115" s="265"/>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64"/>
    </row>
    <row r="116" spans="2:28" hidden="1" x14ac:dyDescent="0.25">
      <c r="B116" s="265"/>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64"/>
    </row>
    <row r="117" spans="2:28" hidden="1" x14ac:dyDescent="0.25">
      <c r="B117" s="265"/>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64"/>
    </row>
    <row r="118" spans="2:28" hidden="1" x14ac:dyDescent="0.25">
      <c r="B118" s="265"/>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64"/>
    </row>
    <row r="119" spans="2:28" hidden="1" x14ac:dyDescent="0.25">
      <c r="B119" s="265"/>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64"/>
    </row>
    <row r="120" spans="2:28" hidden="1" x14ac:dyDescent="0.25">
      <c r="B120" s="265"/>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64"/>
    </row>
    <row r="121" spans="2:28" hidden="1" x14ac:dyDescent="0.25">
      <c r="B121" s="265"/>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64"/>
    </row>
    <row r="122" spans="2:28" hidden="1" x14ac:dyDescent="0.25">
      <c r="B122" s="265"/>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64"/>
    </row>
    <row r="123" spans="2:28" hidden="1" x14ac:dyDescent="0.25">
      <c r="B123" s="265"/>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64"/>
    </row>
    <row r="124" spans="2:28" hidden="1" x14ac:dyDescent="0.25">
      <c r="B124" s="265"/>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64"/>
    </row>
    <row r="125" spans="2:28" hidden="1" x14ac:dyDescent="0.25">
      <c r="B125" s="265"/>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64"/>
    </row>
    <row r="126" spans="2:28" hidden="1" x14ac:dyDescent="0.25">
      <c r="B126" s="265"/>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64"/>
    </row>
    <row r="127" spans="2:28" hidden="1" x14ac:dyDescent="0.25">
      <c r="B127" s="265"/>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64"/>
    </row>
    <row r="128" spans="2:28" ht="15.75" thickBot="1" x14ac:dyDescent="0.3">
      <c r="B128" s="271"/>
      <c r="C128" s="278"/>
      <c r="D128" s="278"/>
      <c r="E128" s="278"/>
      <c r="F128" s="278"/>
      <c r="G128" s="278"/>
      <c r="H128" s="278"/>
      <c r="I128" s="278"/>
      <c r="J128" s="250"/>
      <c r="K128" s="250"/>
      <c r="L128" s="250"/>
      <c r="M128" s="250"/>
      <c r="N128" s="278"/>
      <c r="O128" s="278"/>
      <c r="P128" s="278"/>
      <c r="Q128" s="278"/>
      <c r="R128" s="278"/>
      <c r="S128" s="278"/>
      <c r="T128" s="278"/>
      <c r="U128" s="278"/>
      <c r="V128" s="278"/>
      <c r="W128" s="278"/>
      <c r="X128" s="278"/>
      <c r="Y128" s="278"/>
      <c r="Z128" s="278"/>
      <c r="AA128" s="278"/>
      <c r="AB128" s="270"/>
    </row>
    <row r="129" spans="10:13" x14ac:dyDescent="0.25">
      <c r="J129" s="260"/>
      <c r="K129" s="260"/>
      <c r="L129" s="260"/>
      <c r="M129" s="260"/>
    </row>
  </sheetData>
  <sheetProtection password="B8FF" sheet="1" objects="1" scenarios="1" formatCells="0" formatColumns="0" formatRows="0" insertColumns="0" insertRows="0" deleteColumns="0" deleteRows="0"/>
  <mergeCells count="14">
    <mergeCell ref="U6:W6"/>
    <mergeCell ref="B2:O2"/>
    <mergeCell ref="J100:K100"/>
    <mergeCell ref="L53:M53"/>
    <mergeCell ref="B30:F30"/>
    <mergeCell ref="L52:M52"/>
    <mergeCell ref="L99:M99"/>
    <mergeCell ref="B77:F77"/>
    <mergeCell ref="J76:N76"/>
    <mergeCell ref="J53:K53"/>
    <mergeCell ref="H7:K7"/>
    <mergeCell ref="J29:N29"/>
    <mergeCell ref="J51:M51"/>
    <mergeCell ref="J98:M98"/>
  </mergeCells>
  <pageMargins left="0.7" right="0.7" top="0.75" bottom="0.75" header="0.3" footer="0.3"/>
  <pageSetup scale="28" orientation="portrait" horizontalDpi="300" verticalDpi="300" r:id="rId1"/>
  <ignoredErrors>
    <ignoredError sqref="C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19"/>
  <sheetViews>
    <sheetView topLeftCell="S1" zoomScale="90" zoomScaleNormal="90" workbookViewId="0">
      <selection activeCell="J2" sqref="J1:R1048576"/>
    </sheetView>
  </sheetViews>
  <sheetFormatPr defaultRowHeight="15" x14ac:dyDescent="0.25"/>
  <cols>
    <col min="1" max="1" width="1.42578125" style="344" hidden="1" customWidth="1"/>
    <col min="2" max="2" width="11.7109375" style="344" hidden="1" customWidth="1"/>
    <col min="3" max="3" width="10.7109375" style="344" hidden="1" customWidth="1"/>
    <col min="4" max="4" width="12.140625" style="344" hidden="1" customWidth="1"/>
    <col min="5" max="5" width="12.28515625" style="344" hidden="1" customWidth="1"/>
    <col min="6" max="6" width="11.28515625" style="344" hidden="1" customWidth="1"/>
    <col min="7" max="7" width="10" style="344" hidden="1" customWidth="1"/>
    <col min="8" max="8" width="11.140625" style="344" hidden="1" customWidth="1"/>
    <col min="9" max="9" width="16.42578125" style="344" hidden="1" customWidth="1"/>
    <col min="10" max="10" width="3" style="344" hidden="1" customWidth="1"/>
    <col min="11" max="11" width="12" style="344" hidden="1" customWidth="1"/>
    <col min="12" max="12" width="9.140625" style="344" hidden="1" customWidth="1"/>
    <col min="13" max="13" width="11.28515625" style="344" hidden="1" customWidth="1"/>
    <col min="14" max="14" width="12.7109375" style="344" hidden="1" customWidth="1"/>
    <col min="15" max="15" width="9.5703125" style="344" hidden="1" customWidth="1"/>
    <col min="16" max="16" width="10.7109375" style="344" hidden="1" customWidth="1"/>
    <col min="17" max="17" width="10.5703125" style="344" hidden="1" customWidth="1"/>
    <col min="18" max="18" width="17" style="344" hidden="1" customWidth="1"/>
    <col min="19" max="19" width="14.28515625" style="344" customWidth="1"/>
    <col min="20" max="16384" width="9.140625" style="344"/>
  </cols>
  <sheetData>
    <row r="1" spans="2:19" s="347" customFormat="1" ht="9" customHeight="1" thickBot="1" x14ac:dyDescent="0.3"/>
    <row r="2" spans="2:19" s="347" customFormat="1" ht="21.75" thickBot="1" x14ac:dyDescent="0.4">
      <c r="B2" s="926" t="s">
        <v>325</v>
      </c>
      <c r="C2" s="927"/>
      <c r="D2" s="927"/>
      <c r="E2" s="927"/>
      <c r="F2" s="927"/>
      <c r="G2" s="927"/>
      <c r="H2" s="927"/>
      <c r="I2" s="928"/>
      <c r="J2" s="353"/>
      <c r="K2" s="926" t="s">
        <v>326</v>
      </c>
      <c r="L2" s="927"/>
      <c r="M2" s="927"/>
      <c r="N2" s="927"/>
      <c r="O2" s="927"/>
      <c r="P2" s="927"/>
      <c r="Q2" s="927"/>
      <c r="R2" s="928"/>
    </row>
    <row r="3" spans="2:19" s="347" customFormat="1" ht="15.75" customHeight="1" thickBot="1" x14ac:dyDescent="0.3">
      <c r="B3" s="265"/>
      <c r="C3" s="255"/>
      <c r="D3" s="255"/>
      <c r="E3" s="732"/>
      <c r="F3" s="250"/>
      <c r="G3" s="250"/>
      <c r="H3" s="250"/>
      <c r="I3" s="264"/>
      <c r="J3" s="250"/>
      <c r="K3" s="265"/>
      <c r="L3" s="250"/>
      <c r="M3" s="250"/>
      <c r="N3" s="250"/>
      <c r="O3" s="250"/>
      <c r="P3" s="250"/>
      <c r="Q3" s="250"/>
      <c r="R3" s="261"/>
      <c r="S3" s="348"/>
    </row>
    <row r="4" spans="2:19" s="249" customFormat="1" ht="16.5" thickBot="1" x14ac:dyDescent="0.3">
      <c r="B4" s="795"/>
      <c r="C4" s="258"/>
      <c r="D4" s="258"/>
      <c r="E4" s="250"/>
      <c r="F4" s="302" t="s">
        <v>68</v>
      </c>
      <c r="G4" s="213">
        <v>2</v>
      </c>
      <c r="H4" s="591" t="str">
        <f>IF(G4="","",IF(((G4&lt;=0)+(G4=1))&gt;0,"**Invalid value**",""))</f>
        <v/>
      </c>
      <c r="I4" s="796"/>
      <c r="J4" s="272"/>
      <c r="K4" s="795"/>
      <c r="L4" s="732"/>
      <c r="M4" s="732"/>
      <c r="N4" s="334"/>
      <c r="O4" s="302" t="s">
        <v>69</v>
      </c>
      <c r="P4" s="213">
        <v>2</v>
      </c>
      <c r="Q4" s="591" t="str">
        <f>IF(P4="","",IF(((P4=0)+(P4&lt;=-1))&gt;0,"**Invalid value**",""))</f>
        <v/>
      </c>
      <c r="R4" s="796"/>
      <c r="S4" s="250"/>
    </row>
    <row r="5" spans="2:19" s="347" customFormat="1" ht="16.5" thickBot="1" x14ac:dyDescent="0.3">
      <c r="B5" s="795" t="s">
        <v>221</v>
      </c>
      <c r="C5" s="686" t="str">
        <f>IF(C7=1,IF(D7=1," ","** Lowest category RR must be 1.0 **"),"** Lowest category RR must be 1.0 **")</f>
        <v xml:space="preserve"> </v>
      </c>
      <c r="D5" s="258"/>
      <c r="E5" s="250"/>
      <c r="F5" s="797"/>
      <c r="G5" s="258"/>
      <c r="H5" s="258"/>
      <c r="I5" s="274"/>
      <c r="J5" s="258"/>
      <c r="K5" s="795" t="s">
        <v>221</v>
      </c>
      <c r="L5" s="686" t="str">
        <f>IF(L7=0,IF(M7=0," ","** Lowest category ERR must be 0.0 **"),"** Lowest category ERR must be 0.0 **")</f>
        <v xml:space="preserve"> </v>
      </c>
      <c r="M5" s="732"/>
      <c r="N5" s="334"/>
      <c r="O5" s="333"/>
      <c r="P5" s="732"/>
      <c r="Q5" s="732"/>
      <c r="R5" s="274"/>
      <c r="S5" s="348"/>
    </row>
    <row r="6" spans="2:19" s="347" customFormat="1" ht="16.5" thickBot="1" x14ac:dyDescent="0.3">
      <c r="B6" s="302" t="s">
        <v>54</v>
      </c>
      <c r="C6" s="302" t="s">
        <v>15</v>
      </c>
      <c r="D6" s="302" t="s">
        <v>21</v>
      </c>
      <c r="E6" s="250"/>
      <c r="F6" s="302" t="s">
        <v>83</v>
      </c>
      <c r="G6" s="302" t="s">
        <v>82</v>
      </c>
      <c r="H6" s="302" t="s">
        <v>70</v>
      </c>
      <c r="I6" s="798" t="str">
        <f>IF(COUNTBLANK(I7:I22)=16,"","Warning:")</f>
        <v/>
      </c>
      <c r="J6" s="670"/>
      <c r="K6" s="302" t="s">
        <v>54</v>
      </c>
      <c r="L6" s="302" t="s">
        <v>16</v>
      </c>
      <c r="M6" s="302" t="s">
        <v>27</v>
      </c>
      <c r="N6" s="334"/>
      <c r="O6" s="302" t="s">
        <v>83</v>
      </c>
      <c r="P6" s="302" t="s">
        <v>82</v>
      </c>
      <c r="Q6" s="734" t="s">
        <v>70</v>
      </c>
      <c r="R6" s="798" t="str">
        <f>IF(COUNTBLANK(R7:R22)=16,"","Warning:")</f>
        <v/>
      </c>
      <c r="S6" s="346"/>
    </row>
    <row r="7" spans="2:19" s="347" customFormat="1" ht="15" customHeight="1" thickBot="1" x14ac:dyDescent="0.3">
      <c r="B7" s="219">
        <v>0.54730000000000001</v>
      </c>
      <c r="C7" s="203">
        <v>1</v>
      </c>
      <c r="D7" s="203">
        <v>1</v>
      </c>
      <c r="E7" s="246" t="s">
        <v>184</v>
      </c>
      <c r="F7" s="576">
        <f>IF(($G$31+$G$33)&gt;0,"",IF( ((G7="")+(F31=0))&gt;0,"",1-G7))</f>
        <v>0.5</v>
      </c>
      <c r="G7" s="799">
        <v>0.5</v>
      </c>
      <c r="H7" s="204">
        <f>IF(($G$31+$G$33)&gt;0,"",IF(  F7="","",(G7/F7)/($G$7/$F$7)))</f>
        <v>1</v>
      </c>
      <c r="I7" s="800" t="str">
        <f>IF(G7="","",IF((G7&lt;1)*(G7&gt;0)=1,"","** Invalid value **"))</f>
        <v/>
      </c>
      <c r="J7" s="612"/>
      <c r="K7" s="219">
        <v>0.54730000000000001</v>
      </c>
      <c r="L7" s="203">
        <v>0</v>
      </c>
      <c r="M7" s="203">
        <v>0</v>
      </c>
      <c r="N7" s="246" t="s">
        <v>184</v>
      </c>
      <c r="O7" s="580">
        <f>IF(($P$31+$P$33)&gt;0,"",IF(((P7="")+(O31=0)&gt;0),"",1-P7))</f>
        <v>0.5</v>
      </c>
      <c r="P7" s="799">
        <v>0.5</v>
      </c>
      <c r="Q7" s="204">
        <f>IF(($P$31+$P$33)&gt;0,"",IF(O7="","",(P7/O7)/($P$7/$O$7)))</f>
        <v>1</v>
      </c>
      <c r="R7" s="800" t="str">
        <f>IF(P7="","",IF((P7&lt;1)*(P7&gt;0)=1,"","** Invalid value **"))</f>
        <v/>
      </c>
      <c r="S7" s="346"/>
    </row>
    <row r="8" spans="2:19" s="347" customFormat="1" ht="15" customHeight="1" x14ac:dyDescent="0.25">
      <c r="B8" s="220">
        <v>0.21460000000000001</v>
      </c>
      <c r="C8" s="220">
        <v>1.0047381919029477</v>
      </c>
      <c r="D8" s="220">
        <v>1</v>
      </c>
      <c r="E8" s="246" t="s">
        <v>193</v>
      </c>
      <c r="F8" s="206">
        <f t="shared" ref="F8:F22" si="0">IF($F$31&lt;&gt;$F$32,"",IF(($F$33&gt;0)+($F$34&gt;0)&gt;0,"",IF(G8="","",1-G8)))</f>
        <v>0.49289271214557839</v>
      </c>
      <c r="G8" s="577">
        <f>IF(($G$31+$G$33)&gt;0,"",IF(C8="","",((C8/D8)*($F$7+$G$7*$G$4) -1)/($G$4-1) ))</f>
        <v>0.50710728785442161</v>
      </c>
      <c r="H8" s="212">
        <f t="shared" ref="H8:H22" si="1">IF(($G$31+$G$33)&gt;0,"",IF(  F8="","",(G8/F8)/($G$7/$F$7)))</f>
        <v>1.0288390868003845</v>
      </c>
      <c r="I8" s="800" t="str">
        <f t="shared" ref="I8:I22" si="2">IF(G8="","",IF((G8&lt;1)*(G8&gt;0)=1,"","** Invalid value **"))</f>
        <v/>
      </c>
      <c r="J8" s="612"/>
      <c r="K8" s="220">
        <v>0.21460000000000001</v>
      </c>
      <c r="L8" s="220">
        <v>4.7381919029476638E-3</v>
      </c>
      <c r="M8" s="220">
        <v>0</v>
      </c>
      <c r="N8" s="246" t="s">
        <v>193</v>
      </c>
      <c r="O8" s="206">
        <f>IF(($P$31+$P$33)&gt;0,"",IF(P8="","",1-P8))</f>
        <v>0.49526180809705234</v>
      </c>
      <c r="P8" s="207">
        <f>IF(($P$31+$P$33)&gt;0,"",IF(L8="","",($P$7*(L8+1)*$P$4+L8-M8)/$P$4))</f>
        <v>0.50473819190294766</v>
      </c>
      <c r="Q8" s="576">
        <f t="shared" ref="Q8:Q22" si="3">IF(($P$31+$P$33)&gt;0,"",IF(O8="","",(P8/O8)/($P$7/$O$7)))</f>
        <v>1.0191340895885077</v>
      </c>
      <c r="R8" s="800" t="str">
        <f t="shared" ref="R8:R22" si="4">IF(P8="","",IF((P8&lt;1)*(P8&gt;0)=1,"","** Invalid value **"))</f>
        <v/>
      </c>
      <c r="S8" s="346"/>
    </row>
    <row r="9" spans="2:19" s="347" customFormat="1" ht="15" customHeight="1" x14ac:dyDescent="0.25">
      <c r="B9" s="220">
        <v>0.1115</v>
      </c>
      <c r="C9" s="220">
        <v>1.014853188946508</v>
      </c>
      <c r="D9" s="220">
        <v>1</v>
      </c>
      <c r="E9" s="246" t="s">
        <v>185</v>
      </c>
      <c r="F9" s="206">
        <f t="shared" si="0"/>
        <v>0.47772021658023789</v>
      </c>
      <c r="G9" s="578">
        <f t="shared" ref="G9:G22" si="5">IF(($G$31+$G$33)&gt;0,"",IF(C9="","",((C9/D9)*($F$7+$G$7*$G$4) -1)/($G$4-1) ))</f>
        <v>0.52227978341976211</v>
      </c>
      <c r="H9" s="212">
        <f t="shared" si="1"/>
        <v>1.0932754472031854</v>
      </c>
      <c r="I9" s="800" t="str">
        <f t="shared" si="2"/>
        <v/>
      </c>
      <c r="J9" s="612"/>
      <c r="K9" s="220">
        <v>0.1115</v>
      </c>
      <c r="L9" s="220">
        <v>1.4853188946508E-2</v>
      </c>
      <c r="M9" s="220">
        <v>0</v>
      </c>
      <c r="N9" s="246" t="s">
        <v>185</v>
      </c>
      <c r="O9" s="206">
        <f t="shared" ref="O9:O22" si="6">IF(($P$31+$P$33)&gt;0,"",IF(P9="","",1-P9))</f>
        <v>0.485146811053492</v>
      </c>
      <c r="P9" s="207">
        <f t="shared" ref="P9:P21" si="7">IF(($P$31+$P$33)&gt;0,"",IF(L9="","",($P$7*(L9+1)*$P$4+L9-M9)/$P$4))</f>
        <v>0.514853188946508</v>
      </c>
      <c r="Q9" s="212">
        <f t="shared" si="3"/>
        <v>1.061231728656546</v>
      </c>
      <c r="R9" s="800" t="str">
        <f t="shared" si="4"/>
        <v/>
      </c>
      <c r="S9" s="346"/>
    </row>
    <row r="10" spans="2:19" s="347" customFormat="1" ht="15" customHeight="1" x14ac:dyDescent="0.25">
      <c r="B10" s="220">
        <v>6.1199999999999997E-2</v>
      </c>
      <c r="C10" s="220">
        <v>1.0330315953522968</v>
      </c>
      <c r="D10" s="220">
        <v>1</v>
      </c>
      <c r="E10" s="246" t="s">
        <v>186</v>
      </c>
      <c r="F10" s="206">
        <f t="shared" si="0"/>
        <v>0.45045260697155465</v>
      </c>
      <c r="G10" s="578">
        <f t="shared" si="5"/>
        <v>0.54954739302844535</v>
      </c>
      <c r="H10" s="212">
        <f t="shared" si="1"/>
        <v>1.2199893718522721</v>
      </c>
      <c r="I10" s="800" t="str">
        <f t="shared" si="2"/>
        <v/>
      </c>
      <c r="J10" s="612"/>
      <c r="K10" s="220">
        <v>6.1199999999999997E-2</v>
      </c>
      <c r="L10" s="220">
        <v>3.3031595352296828E-2</v>
      </c>
      <c r="M10" s="220">
        <v>0</v>
      </c>
      <c r="N10" s="246" t="s">
        <v>186</v>
      </c>
      <c r="O10" s="206">
        <f t="shared" si="6"/>
        <v>0.46696840464770317</v>
      </c>
      <c r="P10" s="207">
        <f t="shared" si="7"/>
        <v>0.53303159535229683</v>
      </c>
      <c r="Q10" s="212">
        <f t="shared" si="3"/>
        <v>1.1414725065916054</v>
      </c>
      <c r="R10" s="800" t="str">
        <f t="shared" si="4"/>
        <v/>
      </c>
      <c r="S10" s="346"/>
    </row>
    <row r="11" spans="2:19" s="347" customFormat="1" ht="15" customHeight="1" x14ac:dyDescent="0.25">
      <c r="B11" s="220">
        <v>4.1700000000000001E-2</v>
      </c>
      <c r="C11" s="220">
        <v>1.0627103346329041</v>
      </c>
      <c r="D11" s="220">
        <v>1</v>
      </c>
      <c r="E11" s="246" t="s">
        <v>187</v>
      </c>
      <c r="F11" s="206">
        <f t="shared" si="0"/>
        <v>0.40593449805064385</v>
      </c>
      <c r="G11" s="578">
        <f t="shared" si="5"/>
        <v>0.59406550194935615</v>
      </c>
      <c r="H11" s="212">
        <f t="shared" si="1"/>
        <v>1.4634516277925247</v>
      </c>
      <c r="I11" s="800" t="str">
        <f t="shared" si="2"/>
        <v/>
      </c>
      <c r="J11" s="612"/>
      <c r="K11" s="220">
        <v>4.1700000000000001E-2</v>
      </c>
      <c r="L11" s="220">
        <v>6.2710334632904097E-2</v>
      </c>
      <c r="M11" s="220">
        <v>0</v>
      </c>
      <c r="N11" s="246" t="s">
        <v>187</v>
      </c>
      <c r="O11" s="206">
        <f t="shared" si="6"/>
        <v>0.4372896653670959</v>
      </c>
      <c r="P11" s="207">
        <f t="shared" si="7"/>
        <v>0.5627103346329041</v>
      </c>
      <c r="Q11" s="212">
        <f t="shared" si="3"/>
        <v>1.2868137054199991</v>
      </c>
      <c r="R11" s="800" t="str">
        <f t="shared" si="4"/>
        <v/>
      </c>
      <c r="S11" s="346"/>
    </row>
    <row r="12" spans="2:19" s="347" customFormat="1" ht="15" customHeight="1" x14ac:dyDescent="0.25">
      <c r="B12" s="220">
        <v>1.26E-2</v>
      </c>
      <c r="C12" s="220">
        <v>1.1372769650163048</v>
      </c>
      <c r="D12" s="220">
        <v>1</v>
      </c>
      <c r="E12" s="246" t="s">
        <v>188</v>
      </c>
      <c r="F12" s="206">
        <f t="shared" si="0"/>
        <v>0.29408455247554288</v>
      </c>
      <c r="G12" s="578">
        <f t="shared" si="5"/>
        <v>0.70591544752445712</v>
      </c>
      <c r="H12" s="212">
        <f t="shared" si="1"/>
        <v>2.4003826164353312</v>
      </c>
      <c r="I12" s="800" t="str">
        <f t="shared" si="2"/>
        <v/>
      </c>
      <c r="J12" s="612"/>
      <c r="K12" s="220">
        <v>1.26E-2</v>
      </c>
      <c r="L12" s="220">
        <v>0.13727696501630482</v>
      </c>
      <c r="M12" s="220">
        <v>0</v>
      </c>
      <c r="N12" s="246" t="s">
        <v>188</v>
      </c>
      <c r="O12" s="206">
        <f t="shared" si="6"/>
        <v>0.36272303498369518</v>
      </c>
      <c r="P12" s="207">
        <f t="shared" si="7"/>
        <v>0.63727696501630482</v>
      </c>
      <c r="Q12" s="212">
        <f t="shared" si="3"/>
        <v>1.756924439731133</v>
      </c>
      <c r="R12" s="800" t="str">
        <f t="shared" si="4"/>
        <v/>
      </c>
      <c r="S12" s="346"/>
    </row>
    <row r="13" spans="2:19" s="347" customFormat="1" ht="15" customHeight="1" x14ac:dyDescent="0.25">
      <c r="B13" s="220">
        <v>6.4000000000000003E-3</v>
      </c>
      <c r="C13" s="220">
        <v>1.16019842257464</v>
      </c>
      <c r="D13" s="220">
        <v>1</v>
      </c>
      <c r="E13" s="246" t="s">
        <v>189</v>
      </c>
      <c r="F13" s="206">
        <f t="shared" si="0"/>
        <v>0.25970236613803999</v>
      </c>
      <c r="G13" s="578">
        <f t="shared" si="5"/>
        <v>0.74029763386196001</v>
      </c>
      <c r="H13" s="212">
        <f t="shared" si="1"/>
        <v>2.8505617598742572</v>
      </c>
      <c r="I13" s="800" t="str">
        <f t="shared" si="2"/>
        <v/>
      </c>
      <c r="J13" s="612"/>
      <c r="K13" s="220">
        <v>6.4000000000000003E-3</v>
      </c>
      <c r="L13" s="220">
        <v>0.16019842257464001</v>
      </c>
      <c r="M13" s="220">
        <v>0</v>
      </c>
      <c r="N13" s="246" t="s">
        <v>189</v>
      </c>
      <c r="O13" s="206">
        <f t="shared" si="6"/>
        <v>0.33980157742535999</v>
      </c>
      <c r="P13" s="207">
        <f t="shared" si="7"/>
        <v>0.66019842257464001</v>
      </c>
      <c r="Q13" s="212">
        <f t="shared" si="3"/>
        <v>1.9428939311491502</v>
      </c>
      <c r="R13" s="800" t="str">
        <f t="shared" si="4"/>
        <v/>
      </c>
      <c r="S13" s="346"/>
    </row>
    <row r="14" spans="2:19" s="347" customFormat="1" ht="15" customHeight="1" x14ac:dyDescent="0.25">
      <c r="B14" s="220">
        <v>2.5999999999999999E-3</v>
      </c>
      <c r="C14" s="220">
        <v>1.2274345405351776</v>
      </c>
      <c r="D14" s="220">
        <v>1</v>
      </c>
      <c r="E14" s="246" t="s">
        <v>190</v>
      </c>
      <c r="F14" s="206">
        <f t="shared" si="0"/>
        <v>0.15884818919723354</v>
      </c>
      <c r="G14" s="578">
        <f t="shared" si="5"/>
        <v>0.84115181080276646</v>
      </c>
      <c r="H14" s="212">
        <f t="shared" si="1"/>
        <v>5.2953188516260141</v>
      </c>
      <c r="I14" s="800" t="str">
        <f t="shared" si="2"/>
        <v/>
      </c>
      <c r="J14" s="612"/>
      <c r="K14" s="220">
        <v>2.5999999999999999E-3</v>
      </c>
      <c r="L14" s="220">
        <v>0.22743454053517764</v>
      </c>
      <c r="M14" s="220">
        <v>0</v>
      </c>
      <c r="N14" s="246" t="s">
        <v>190</v>
      </c>
      <c r="O14" s="206">
        <f t="shared" si="6"/>
        <v>0.27256545946482236</v>
      </c>
      <c r="P14" s="207">
        <f t="shared" si="7"/>
        <v>0.72743454053517764</v>
      </c>
      <c r="Q14" s="212">
        <f t="shared" si="3"/>
        <v>2.6688434476014788</v>
      </c>
      <c r="R14" s="800" t="str">
        <f t="shared" si="4"/>
        <v/>
      </c>
      <c r="S14" s="346"/>
    </row>
    <row r="15" spans="2:19" s="347" customFormat="1" ht="15" customHeight="1" x14ac:dyDescent="0.25">
      <c r="B15" s="220">
        <v>2.0999999999999999E-3</v>
      </c>
      <c r="C15" s="220">
        <v>1.3238177636803241</v>
      </c>
      <c r="D15" s="220">
        <v>1</v>
      </c>
      <c r="E15" s="246" t="s">
        <v>191</v>
      </c>
      <c r="F15" s="206">
        <f t="shared" si="0"/>
        <v>1.4273354479513944E-2</v>
      </c>
      <c r="G15" s="578">
        <f t="shared" si="5"/>
        <v>0.98572664552048606</v>
      </c>
      <c r="H15" s="212">
        <f t="shared" si="1"/>
        <v>69.060615494084843</v>
      </c>
      <c r="I15" s="800" t="str">
        <f t="shared" si="2"/>
        <v/>
      </c>
      <c r="J15" s="612"/>
      <c r="K15" s="220">
        <v>2.0999999999999999E-3</v>
      </c>
      <c r="L15" s="220">
        <v>0.32381776368032411</v>
      </c>
      <c r="M15" s="220">
        <v>0</v>
      </c>
      <c r="N15" s="246" t="s">
        <v>191</v>
      </c>
      <c r="O15" s="206">
        <f t="shared" si="6"/>
        <v>0.17618223631967589</v>
      </c>
      <c r="P15" s="207">
        <f t="shared" si="7"/>
        <v>0.82381776368032411</v>
      </c>
      <c r="Q15" s="212">
        <f t="shared" si="3"/>
        <v>4.675941121473441</v>
      </c>
      <c r="R15" s="800" t="str">
        <f t="shared" si="4"/>
        <v/>
      </c>
      <c r="S15" s="346"/>
    </row>
    <row r="16" spans="2:19" s="347" customFormat="1" ht="15" customHeight="1" x14ac:dyDescent="0.25">
      <c r="B16" s="220"/>
      <c r="C16" s="220"/>
      <c r="D16" s="220"/>
      <c r="E16" s="246" t="s">
        <v>192</v>
      </c>
      <c r="F16" s="206" t="str">
        <f t="shared" si="0"/>
        <v/>
      </c>
      <c r="G16" s="578" t="str">
        <f t="shared" si="5"/>
        <v/>
      </c>
      <c r="H16" s="212" t="str">
        <f t="shared" si="1"/>
        <v/>
      </c>
      <c r="I16" s="800" t="str">
        <f t="shared" si="2"/>
        <v/>
      </c>
      <c r="J16" s="612"/>
      <c r="K16" s="220"/>
      <c r="L16" s="220"/>
      <c r="M16" s="220"/>
      <c r="N16" s="246" t="s">
        <v>192</v>
      </c>
      <c r="O16" s="206" t="str">
        <f t="shared" si="6"/>
        <v/>
      </c>
      <c r="P16" s="207" t="str">
        <f t="shared" si="7"/>
        <v/>
      </c>
      <c r="Q16" s="212" t="str">
        <f t="shared" si="3"/>
        <v/>
      </c>
      <c r="R16" s="800" t="str">
        <f t="shared" si="4"/>
        <v/>
      </c>
      <c r="S16" s="346"/>
    </row>
    <row r="17" spans="2:23" s="347" customFormat="1" ht="15" customHeight="1" x14ac:dyDescent="0.25">
      <c r="B17" s="220"/>
      <c r="C17" s="220"/>
      <c r="D17" s="220"/>
      <c r="E17" s="246" t="s">
        <v>194</v>
      </c>
      <c r="F17" s="206" t="str">
        <f t="shared" si="0"/>
        <v/>
      </c>
      <c r="G17" s="578" t="str">
        <f t="shared" si="5"/>
        <v/>
      </c>
      <c r="H17" s="212" t="str">
        <f t="shared" si="1"/>
        <v/>
      </c>
      <c r="I17" s="800" t="str">
        <f t="shared" si="2"/>
        <v/>
      </c>
      <c r="J17" s="612"/>
      <c r="K17" s="220"/>
      <c r="L17" s="220"/>
      <c r="M17" s="220"/>
      <c r="N17" s="246" t="s">
        <v>194</v>
      </c>
      <c r="O17" s="206" t="str">
        <f t="shared" si="6"/>
        <v/>
      </c>
      <c r="P17" s="207" t="str">
        <f t="shared" si="7"/>
        <v/>
      </c>
      <c r="Q17" s="212" t="str">
        <f t="shared" si="3"/>
        <v/>
      </c>
      <c r="R17" s="800" t="str">
        <f t="shared" si="4"/>
        <v/>
      </c>
      <c r="S17" s="346"/>
    </row>
    <row r="18" spans="2:23" s="347" customFormat="1" ht="15" customHeight="1" x14ac:dyDescent="0.25">
      <c r="B18" s="220"/>
      <c r="C18" s="220"/>
      <c r="D18" s="220"/>
      <c r="E18" s="246" t="s">
        <v>195</v>
      </c>
      <c r="F18" s="206" t="str">
        <f t="shared" si="0"/>
        <v/>
      </c>
      <c r="G18" s="578" t="str">
        <f t="shared" si="5"/>
        <v/>
      </c>
      <c r="H18" s="212" t="str">
        <f t="shared" si="1"/>
        <v/>
      </c>
      <c r="I18" s="800" t="str">
        <f t="shared" si="2"/>
        <v/>
      </c>
      <c r="J18" s="612"/>
      <c r="K18" s="220"/>
      <c r="L18" s="220"/>
      <c r="M18" s="220"/>
      <c r="N18" s="246" t="s">
        <v>195</v>
      </c>
      <c r="O18" s="206" t="str">
        <f t="shared" si="6"/>
        <v/>
      </c>
      <c r="P18" s="207" t="str">
        <f t="shared" si="7"/>
        <v/>
      </c>
      <c r="Q18" s="212" t="str">
        <f t="shared" si="3"/>
        <v/>
      </c>
      <c r="R18" s="800" t="str">
        <f t="shared" si="4"/>
        <v/>
      </c>
      <c r="S18" s="346"/>
    </row>
    <row r="19" spans="2:23" s="347" customFormat="1" ht="15" customHeight="1" x14ac:dyDescent="0.25">
      <c r="B19" s="220"/>
      <c r="C19" s="220"/>
      <c r="D19" s="220"/>
      <c r="E19" s="246" t="s">
        <v>196</v>
      </c>
      <c r="F19" s="206" t="str">
        <f t="shared" si="0"/>
        <v/>
      </c>
      <c r="G19" s="578" t="str">
        <f t="shared" si="5"/>
        <v/>
      </c>
      <c r="H19" s="212" t="str">
        <f t="shared" si="1"/>
        <v/>
      </c>
      <c r="I19" s="800" t="str">
        <f t="shared" si="2"/>
        <v/>
      </c>
      <c r="J19" s="612"/>
      <c r="K19" s="220"/>
      <c r="L19" s="220"/>
      <c r="M19" s="220"/>
      <c r="N19" s="246" t="s">
        <v>196</v>
      </c>
      <c r="O19" s="206" t="str">
        <f t="shared" si="6"/>
        <v/>
      </c>
      <c r="P19" s="207" t="str">
        <f t="shared" si="7"/>
        <v/>
      </c>
      <c r="Q19" s="212" t="str">
        <f t="shared" si="3"/>
        <v/>
      </c>
      <c r="R19" s="800" t="str">
        <f t="shared" si="4"/>
        <v/>
      </c>
      <c r="S19" s="346"/>
    </row>
    <row r="20" spans="2:23" s="347" customFormat="1" ht="15" customHeight="1" x14ac:dyDescent="0.25">
      <c r="B20" s="220"/>
      <c r="C20" s="220"/>
      <c r="D20" s="220"/>
      <c r="E20" s="246" t="s">
        <v>197</v>
      </c>
      <c r="F20" s="206" t="str">
        <f t="shared" si="0"/>
        <v/>
      </c>
      <c r="G20" s="578" t="str">
        <f t="shared" si="5"/>
        <v/>
      </c>
      <c r="H20" s="212" t="str">
        <f t="shared" si="1"/>
        <v/>
      </c>
      <c r="I20" s="800" t="str">
        <f t="shared" si="2"/>
        <v/>
      </c>
      <c r="J20" s="612"/>
      <c r="K20" s="220"/>
      <c r="L20" s="220"/>
      <c r="M20" s="220"/>
      <c r="N20" s="246" t="s">
        <v>197</v>
      </c>
      <c r="O20" s="206" t="str">
        <f t="shared" si="6"/>
        <v/>
      </c>
      <c r="P20" s="207" t="str">
        <f>IF(($P$31+$P$33)&gt;0,"",IF(L20="","",($P$7*(L20+1)*$P$4+L20-M20)/$P$4))</f>
        <v/>
      </c>
      <c r="Q20" s="212" t="s">
        <v>155</v>
      </c>
      <c r="R20" s="800" t="str">
        <f t="shared" si="4"/>
        <v/>
      </c>
      <c r="S20" s="346"/>
    </row>
    <row r="21" spans="2:23" s="347" customFormat="1" ht="15" customHeight="1" x14ac:dyDescent="0.25">
      <c r="B21" s="220"/>
      <c r="C21" s="220"/>
      <c r="D21" s="220"/>
      <c r="E21" s="246" t="s">
        <v>198</v>
      </c>
      <c r="F21" s="206" t="str">
        <f t="shared" si="0"/>
        <v/>
      </c>
      <c r="G21" s="578" t="str">
        <f t="shared" si="5"/>
        <v/>
      </c>
      <c r="H21" s="212" t="str">
        <f t="shared" si="1"/>
        <v/>
      </c>
      <c r="I21" s="800" t="str">
        <f t="shared" si="2"/>
        <v/>
      </c>
      <c r="J21" s="612"/>
      <c r="K21" s="220"/>
      <c r="L21" s="220"/>
      <c r="M21" s="220"/>
      <c r="N21" s="246" t="s">
        <v>198</v>
      </c>
      <c r="O21" s="206" t="str">
        <f t="shared" si="6"/>
        <v/>
      </c>
      <c r="P21" s="207" t="str">
        <f t="shared" si="7"/>
        <v/>
      </c>
      <c r="Q21" s="212" t="str">
        <f t="shared" si="3"/>
        <v/>
      </c>
      <c r="R21" s="800" t="str">
        <f t="shared" si="4"/>
        <v/>
      </c>
      <c r="S21" s="346"/>
      <c r="W21" s="590"/>
    </row>
    <row r="22" spans="2:23" s="347" customFormat="1" ht="15" customHeight="1" thickBot="1" x14ac:dyDescent="0.3">
      <c r="B22" s="220"/>
      <c r="C22" s="221"/>
      <c r="D22" s="221"/>
      <c r="E22" s="700" t="s">
        <v>199</v>
      </c>
      <c r="F22" s="581" t="str">
        <f t="shared" si="0"/>
        <v/>
      </c>
      <c r="G22" s="579" t="str">
        <f t="shared" si="5"/>
        <v/>
      </c>
      <c r="H22" s="208" t="str">
        <f t="shared" si="1"/>
        <v/>
      </c>
      <c r="I22" s="800" t="str">
        <f t="shared" si="2"/>
        <v/>
      </c>
      <c r="J22" s="612"/>
      <c r="K22" s="221"/>
      <c r="L22" s="221"/>
      <c r="M22" s="221"/>
      <c r="N22" s="700" t="s">
        <v>199</v>
      </c>
      <c r="O22" s="581" t="str">
        <f t="shared" si="6"/>
        <v/>
      </c>
      <c r="P22" s="801" t="str">
        <f>IF(($P$31+$P$33)&gt;0,"",IF(L22="","",($P$7*(L22+1)*$P$4+L22-M22)/$P$4))</f>
        <v/>
      </c>
      <c r="Q22" s="208" t="str">
        <f t="shared" si="3"/>
        <v/>
      </c>
      <c r="R22" s="800" t="str">
        <f t="shared" si="4"/>
        <v/>
      </c>
      <c r="S22" s="346"/>
      <c r="W22" s="590"/>
    </row>
    <row r="23" spans="2:23" s="347" customFormat="1" ht="16.5" thickBot="1" x14ac:dyDescent="0.3">
      <c r="B23" s="203">
        <f>IF(B45=16,"",SUM(B7:B22))</f>
        <v>1.0000000000000002</v>
      </c>
      <c r="C23" s="334"/>
      <c r="D23" s="334"/>
      <c r="E23" s="283" t="str">
        <f>IF(B23=1,IF(B45=C45,"P(C)=",""),"")</f>
        <v>P(C)=</v>
      </c>
      <c r="F23" s="802">
        <f>IF(B23=1,IF(G23="","",1-G23),"")</f>
        <v>0.4829962881313038</v>
      </c>
      <c r="G23" s="231">
        <f>IF(B23=1,IF(B45=C45,D28,""),"")</f>
        <v>0.5170037118686962</v>
      </c>
      <c r="H23" s="803"/>
      <c r="I23" s="800"/>
      <c r="J23" s="612"/>
      <c r="K23" s="203">
        <f>IF(K45=16,"",SUM(K7:K22))</f>
        <v>1.0000000000000002</v>
      </c>
      <c r="L23" s="334"/>
      <c r="M23" s="334"/>
      <c r="N23" s="283" t="str">
        <f>IF(K23=1,IF(K45=L45,"P(C)=",""),"")</f>
        <v>P(C)=</v>
      </c>
      <c r="O23" s="802">
        <f>IF(P23="","",IF(K45=L45,1-P23,""))</f>
        <v>0.48866419208753586</v>
      </c>
      <c r="P23" s="231">
        <f>IF(K23=1,IF(K45=L45,M28,""),"")</f>
        <v>0.51133580791246414</v>
      </c>
      <c r="Q23" s="334"/>
      <c r="R23" s="804"/>
    </row>
    <row r="24" spans="2:23" s="347" customFormat="1" ht="15.75" x14ac:dyDescent="0.25">
      <c r="B24" s="678" t="str">
        <f>IF(B45=16,"",IF(ABS(B23-1)&lt;tol_Pr,"","**Warning: P(X) must sum to one**"))</f>
        <v/>
      </c>
      <c r="C24" s="591"/>
      <c r="D24" s="250"/>
      <c r="E24" s="250"/>
      <c r="F24" s="677" t="str">
        <f>IF(($G$31+$G$33)&gt;0,"",IF(B23=1,IF(B45=C45,"","**P(C) omitted, mismatch of levels P(X) &amp; P(C|X)**"),""))</f>
        <v/>
      </c>
      <c r="G24" s="677"/>
      <c r="H24" s="250"/>
      <c r="I24" s="264"/>
      <c r="J24" s="249"/>
      <c r="K24" s="805" t="str">
        <f>IF(K45=16,"",IF(ABS(K23-1)&lt;tol_Pr,"","**Warning: P(X) must sum to one**"))</f>
        <v/>
      </c>
      <c r="L24" s="250"/>
      <c r="M24" s="250"/>
      <c r="N24" s="806"/>
      <c r="O24" s="807" t="str">
        <f>IF(($P$31+$P$33)&gt;0,"",IF(K23=1,IF(K45=L45,"","**P(C) omitted, mismatch of levels P(X) &amp; P(C|X)**"),""))</f>
        <v/>
      </c>
      <c r="P24" s="677"/>
      <c r="Q24" s="250"/>
      <c r="R24" s="264"/>
      <c r="S24" s="592"/>
      <c r="T24" s="592"/>
      <c r="U24" s="592"/>
    </row>
    <row r="25" spans="2:23" s="347" customFormat="1" ht="15.75" thickBot="1" x14ac:dyDescent="0.3">
      <c r="B25" s="593"/>
      <c r="C25" s="594"/>
      <c r="D25" s="594"/>
      <c r="E25" s="595"/>
      <c r="F25" s="595"/>
      <c r="G25" s="595"/>
      <c r="H25" s="595"/>
      <c r="I25" s="596"/>
      <c r="J25" s="597"/>
      <c r="K25" s="593"/>
      <c r="L25" s="594"/>
      <c r="M25" s="594"/>
      <c r="N25" s="598"/>
      <c r="O25" s="598"/>
      <c r="P25" s="594"/>
      <c r="Q25" s="594"/>
      <c r="R25" s="599"/>
      <c r="S25" s="592"/>
      <c r="T25" s="592"/>
    </row>
    <row r="26" spans="2:23" s="347" customFormat="1" x14ac:dyDescent="0.25">
      <c r="E26" s="597"/>
      <c r="N26" s="600"/>
      <c r="O26" s="600"/>
      <c r="S26" s="592"/>
      <c r="T26" s="592"/>
    </row>
    <row r="27" spans="2:23" s="347" customFormat="1" hidden="1" x14ac:dyDescent="0.25">
      <c r="B27" s="568"/>
      <c r="C27" s="601" t="s">
        <v>237</v>
      </c>
      <c r="D27" s="537" t="s">
        <v>236</v>
      </c>
      <c r="E27" s="597"/>
      <c r="L27" s="601" t="s">
        <v>238</v>
      </c>
      <c r="M27" s="537" t="s">
        <v>236</v>
      </c>
      <c r="N27" s="600"/>
      <c r="O27" s="600"/>
      <c r="S27" s="592"/>
      <c r="T27" s="592"/>
    </row>
    <row r="28" spans="2:23" s="347" customFormat="1" hidden="1" x14ac:dyDescent="0.25">
      <c r="B28" s="602">
        <f t="shared" ref="B28:B43" si="8">IF(B7="",0,B7)</f>
        <v>0.54730000000000001</v>
      </c>
      <c r="C28" s="602">
        <f t="shared" ref="C28:C43" si="9">IF(G7="",0,G7)</f>
        <v>0.5</v>
      </c>
      <c r="D28" s="603">
        <f t="array" ref="D28">MMULT(TRANSPOSE(B28:B43),C28:C43)</f>
        <v>0.5170037118686962</v>
      </c>
      <c r="E28" s="597"/>
      <c r="K28" s="602">
        <f>IF(K7="",0,K7)</f>
        <v>0.54730000000000001</v>
      </c>
      <c r="L28" s="602">
        <f>IF(P7="",0,P7)</f>
        <v>0.5</v>
      </c>
      <c r="M28" s="603">
        <f t="array" ref="M28">MMULT(TRANSPOSE(K28:K43),L28:L43)</f>
        <v>0.51133580791246414</v>
      </c>
      <c r="N28" s="600"/>
      <c r="O28" s="600"/>
      <c r="S28" s="590"/>
      <c r="T28" s="592"/>
    </row>
    <row r="29" spans="2:23" s="347" customFormat="1" hidden="1" x14ac:dyDescent="0.25">
      <c r="B29" s="604">
        <f t="shared" si="8"/>
        <v>0.21460000000000001</v>
      </c>
      <c r="C29" s="604">
        <f t="shared" si="9"/>
        <v>0.50710728785442161</v>
      </c>
      <c r="E29" s="597"/>
      <c r="K29" s="604">
        <f t="shared" ref="K29:K42" si="10">IF(K8="",0,K8)</f>
        <v>0.21460000000000001</v>
      </c>
      <c r="L29" s="604">
        <f t="shared" ref="L29:L43" si="11">IF(P8="",0,P8)</f>
        <v>0.50473819190294766</v>
      </c>
      <c r="N29" s="600"/>
      <c r="T29" s="590"/>
    </row>
    <row r="30" spans="2:23" s="347" customFormat="1" hidden="1" x14ac:dyDescent="0.25">
      <c r="B30" s="604">
        <f t="shared" si="8"/>
        <v>0.1115</v>
      </c>
      <c r="C30" s="604">
        <f t="shared" si="9"/>
        <v>0.52227978341976211</v>
      </c>
      <c r="E30" s="597"/>
      <c r="K30" s="604">
        <f t="shared" si="10"/>
        <v>0.1115</v>
      </c>
      <c r="L30" s="604">
        <f t="shared" si="11"/>
        <v>0.514853188946508</v>
      </c>
      <c r="N30" s="600"/>
    </row>
    <row r="31" spans="2:23" s="347" customFormat="1" hidden="1" x14ac:dyDescent="0.25">
      <c r="B31" s="604">
        <f t="shared" si="8"/>
        <v>6.1199999999999997E-2</v>
      </c>
      <c r="C31" s="604">
        <f t="shared" si="9"/>
        <v>0.54954739302844535</v>
      </c>
      <c r="E31" s="597" t="s">
        <v>251</v>
      </c>
      <c r="F31" s="743">
        <f>15-COUNTBLANK(C8:C22)</f>
        <v>8</v>
      </c>
      <c r="G31" s="347">
        <f>IF(F31&lt;&gt;F32,1,0)</f>
        <v>0</v>
      </c>
      <c r="K31" s="604">
        <f t="shared" si="10"/>
        <v>6.1199999999999997E-2</v>
      </c>
      <c r="L31" s="604">
        <f t="shared" si="11"/>
        <v>0.53303159535229683</v>
      </c>
      <c r="N31" s="597" t="s">
        <v>251</v>
      </c>
      <c r="O31" s="743">
        <f>15-COUNTBLANK(L8:L22)</f>
        <v>8</v>
      </c>
      <c r="P31" s="684">
        <f>IF(O31&lt;&gt;O32,1,0)</f>
        <v>0</v>
      </c>
    </row>
    <row r="32" spans="2:23" s="347" customFormat="1" hidden="1" x14ac:dyDescent="0.25">
      <c r="B32" s="604">
        <f t="shared" si="8"/>
        <v>4.1700000000000001E-2</v>
      </c>
      <c r="C32" s="604">
        <f t="shared" si="9"/>
        <v>0.59406550194935615</v>
      </c>
      <c r="F32" s="744">
        <f>15-COUNTBLANK(D8:D22)</f>
        <v>8</v>
      </c>
      <c r="K32" s="604">
        <f t="shared" si="10"/>
        <v>4.1700000000000001E-2</v>
      </c>
      <c r="L32" s="604">
        <f t="shared" si="11"/>
        <v>0.5627103346329041</v>
      </c>
      <c r="O32" s="744">
        <f>15-COUNTBLANK(M8:M22)</f>
        <v>8</v>
      </c>
      <c r="P32" s="684"/>
    </row>
    <row r="33" spans="2:16" s="347" customFormat="1" hidden="1" x14ac:dyDescent="0.25">
      <c r="B33" s="604">
        <f t="shared" si="8"/>
        <v>1.26E-2</v>
      </c>
      <c r="C33" s="604">
        <f t="shared" si="9"/>
        <v>0.70591544752445712</v>
      </c>
      <c r="F33" s="745">
        <f>COUNTBLANK(G4)+COUNTBLANK(G7)</f>
        <v>0</v>
      </c>
      <c r="G33" s="347">
        <f>IF((F33&gt;0)+(F34&gt;0)&gt;0,1,0)</f>
        <v>0</v>
      </c>
      <c r="K33" s="604">
        <f t="shared" si="10"/>
        <v>1.26E-2</v>
      </c>
      <c r="L33" s="604">
        <f t="shared" si="11"/>
        <v>0.63727696501630482</v>
      </c>
      <c r="O33" s="745">
        <f>COUNTBLANK(P4)+COUNTBLANK(P7)</f>
        <v>0</v>
      </c>
      <c r="P33" s="606">
        <f>IF((O33&gt;0)+(O34&gt;0)&gt;0,1,0)</f>
        <v>0</v>
      </c>
    </row>
    <row r="34" spans="2:16" s="347" customFormat="1" hidden="1" x14ac:dyDescent="0.25">
      <c r="B34" s="604">
        <f t="shared" si="8"/>
        <v>6.4000000000000003E-3</v>
      </c>
      <c r="C34" s="604">
        <f t="shared" si="9"/>
        <v>0.74029763386196001</v>
      </c>
      <c r="F34" s="746">
        <f xml:space="preserve">  IF(G4="",0,IF((G7&lt;=0)+(G7&gt;=1)+(G4=1)+(G4&lt;=0)&gt;0,1,0))</f>
        <v>0</v>
      </c>
      <c r="K34" s="604">
        <f t="shared" si="10"/>
        <v>6.4000000000000003E-3</v>
      </c>
      <c r="L34" s="604">
        <f t="shared" si="11"/>
        <v>0.66019842257464001</v>
      </c>
      <c r="N34" s="600"/>
      <c r="O34" s="731">
        <f xml:space="preserve">  IF(P4="",0,IF((P7&lt;=0)+(P7&gt;=1)+(P4=0)+(P4&lt;=-1)&gt;0,1,0))</f>
        <v>0</v>
      </c>
    </row>
    <row r="35" spans="2:16" s="347" customFormat="1" hidden="1" x14ac:dyDescent="0.25">
      <c r="B35" s="604">
        <f t="shared" si="8"/>
        <v>2.5999999999999999E-3</v>
      </c>
      <c r="C35" s="604">
        <f t="shared" si="9"/>
        <v>0.84115181080276646</v>
      </c>
      <c r="K35" s="604">
        <f t="shared" si="10"/>
        <v>2.5999999999999999E-3</v>
      </c>
      <c r="L35" s="604">
        <f t="shared" si="11"/>
        <v>0.72743454053517764</v>
      </c>
      <c r="N35" s="600"/>
      <c r="O35" s="600"/>
    </row>
    <row r="36" spans="2:16" s="347" customFormat="1" hidden="1" x14ac:dyDescent="0.25">
      <c r="B36" s="604">
        <f t="shared" si="8"/>
        <v>2.0999999999999999E-3</v>
      </c>
      <c r="C36" s="604">
        <f t="shared" si="9"/>
        <v>0.98572664552048606</v>
      </c>
      <c r="K36" s="604">
        <f t="shared" si="10"/>
        <v>2.0999999999999999E-3</v>
      </c>
      <c r="L36" s="604">
        <f t="shared" si="11"/>
        <v>0.82381776368032411</v>
      </c>
    </row>
    <row r="37" spans="2:16" s="347" customFormat="1" hidden="1" x14ac:dyDescent="0.25">
      <c r="B37" s="604">
        <f t="shared" si="8"/>
        <v>0</v>
      </c>
      <c r="C37" s="604">
        <f t="shared" si="9"/>
        <v>0</v>
      </c>
      <c r="K37" s="604">
        <f t="shared" si="10"/>
        <v>0</v>
      </c>
      <c r="L37" s="604">
        <f t="shared" si="11"/>
        <v>0</v>
      </c>
    </row>
    <row r="38" spans="2:16" s="347" customFormat="1" hidden="1" x14ac:dyDescent="0.25">
      <c r="B38" s="604">
        <f t="shared" si="8"/>
        <v>0</v>
      </c>
      <c r="C38" s="604">
        <f t="shared" si="9"/>
        <v>0</v>
      </c>
      <c r="K38" s="604">
        <f t="shared" si="10"/>
        <v>0</v>
      </c>
      <c r="L38" s="604">
        <f>IF(P17="",0,P17)</f>
        <v>0</v>
      </c>
    </row>
    <row r="39" spans="2:16" s="347" customFormat="1" hidden="1" x14ac:dyDescent="0.25">
      <c r="B39" s="604">
        <f t="shared" si="8"/>
        <v>0</v>
      </c>
      <c r="C39" s="604">
        <f t="shared" si="9"/>
        <v>0</v>
      </c>
      <c r="K39" s="604">
        <f>IF(K18="",0,K18)</f>
        <v>0</v>
      </c>
      <c r="L39" s="604">
        <f t="shared" si="11"/>
        <v>0</v>
      </c>
    </row>
    <row r="40" spans="2:16" s="347" customFormat="1" hidden="1" x14ac:dyDescent="0.25">
      <c r="B40" s="604">
        <f t="shared" si="8"/>
        <v>0</v>
      </c>
      <c r="C40" s="604">
        <f t="shared" si="9"/>
        <v>0</v>
      </c>
      <c r="K40" s="604">
        <f t="shared" si="10"/>
        <v>0</v>
      </c>
      <c r="L40" s="604">
        <f t="shared" si="11"/>
        <v>0</v>
      </c>
    </row>
    <row r="41" spans="2:16" s="347" customFormat="1" hidden="1" x14ac:dyDescent="0.25">
      <c r="B41" s="604">
        <f t="shared" si="8"/>
        <v>0</v>
      </c>
      <c r="C41" s="604">
        <f t="shared" si="9"/>
        <v>0</v>
      </c>
      <c r="K41" s="604">
        <f t="shared" si="10"/>
        <v>0</v>
      </c>
      <c r="L41" s="604">
        <f t="shared" si="11"/>
        <v>0</v>
      </c>
    </row>
    <row r="42" spans="2:16" s="347" customFormat="1" hidden="1" x14ac:dyDescent="0.25">
      <c r="B42" s="604">
        <f t="shared" si="8"/>
        <v>0</v>
      </c>
      <c r="C42" s="604">
        <f t="shared" si="9"/>
        <v>0</v>
      </c>
      <c r="K42" s="604">
        <f t="shared" si="10"/>
        <v>0</v>
      </c>
      <c r="L42" s="604">
        <f t="shared" si="11"/>
        <v>0</v>
      </c>
    </row>
    <row r="43" spans="2:16" s="347" customFormat="1" hidden="1" x14ac:dyDescent="0.25">
      <c r="B43" s="605">
        <f t="shared" si="8"/>
        <v>0</v>
      </c>
      <c r="C43" s="605">
        <f t="shared" si="9"/>
        <v>0</v>
      </c>
      <c r="K43" s="605">
        <f>IF(K22="",0,K22)</f>
        <v>0</v>
      </c>
      <c r="L43" s="605">
        <f t="shared" si="11"/>
        <v>0</v>
      </c>
    </row>
    <row r="44" spans="2:16" s="347" customFormat="1" hidden="1" x14ac:dyDescent="0.25"/>
    <row r="45" spans="2:16" s="347" customFormat="1" hidden="1" x14ac:dyDescent="0.25">
      <c r="B45" s="606">
        <f>COUNTIF(B28:B43,"=0")</f>
        <v>7</v>
      </c>
      <c r="C45" s="606">
        <f>COUNTIF(C28:C43,"=0")</f>
        <v>7</v>
      </c>
      <c r="K45" s="606">
        <f>COUNTIF(K28:K43,"=0")</f>
        <v>7</v>
      </c>
      <c r="L45" s="606">
        <f>COUNTIF(L28:L43,"=0")</f>
        <v>7</v>
      </c>
    </row>
    <row r="46" spans="2:16" s="347" customFormat="1" hidden="1" x14ac:dyDescent="0.25"/>
    <row r="47" spans="2:16" s="347" customFormat="1" x14ac:dyDescent="0.25"/>
    <row r="48" spans="2:16" s="347" customFormat="1" x14ac:dyDescent="0.25"/>
    <row r="49" s="347" customFormat="1" x14ac:dyDescent="0.25"/>
    <row r="50" s="347" customFormat="1" x14ac:dyDescent="0.25"/>
    <row r="51" s="347" customFormat="1" x14ac:dyDescent="0.25"/>
    <row r="52" s="347" customFormat="1" x14ac:dyDescent="0.25"/>
    <row r="53" s="347" customFormat="1" x14ac:dyDescent="0.25"/>
    <row r="54" s="347" customFormat="1" x14ac:dyDescent="0.25"/>
    <row r="55" s="347" customFormat="1" x14ac:dyDescent="0.25"/>
    <row r="56" s="347" customFormat="1" x14ac:dyDescent="0.25"/>
    <row r="57" s="347" customFormat="1" x14ac:dyDescent="0.25"/>
    <row r="58" s="347" customFormat="1" x14ac:dyDescent="0.25"/>
    <row r="59" s="347" customFormat="1" x14ac:dyDescent="0.25"/>
    <row r="60" s="347" customFormat="1" x14ac:dyDescent="0.25"/>
    <row r="61" s="347" customFormat="1" x14ac:dyDescent="0.25"/>
    <row r="62" s="347" customFormat="1" x14ac:dyDescent="0.25"/>
    <row r="63" s="347" customFormat="1" x14ac:dyDescent="0.25"/>
    <row r="64" s="347" customFormat="1" x14ac:dyDescent="0.25"/>
    <row r="65" s="347" customFormat="1" x14ac:dyDescent="0.25"/>
    <row r="66" s="347" customFormat="1" x14ac:dyDescent="0.25"/>
    <row r="67" s="347" customFormat="1" x14ac:dyDescent="0.25"/>
    <row r="68" s="347" customFormat="1" x14ac:dyDescent="0.25"/>
    <row r="69" s="347" customFormat="1" x14ac:dyDescent="0.25"/>
    <row r="70" s="347" customFormat="1" x14ac:dyDescent="0.25"/>
    <row r="71" s="347" customFormat="1" x14ac:dyDescent="0.25"/>
    <row r="72" s="347" customFormat="1" x14ac:dyDescent="0.25"/>
    <row r="73" s="347" customFormat="1" x14ac:dyDescent="0.25"/>
    <row r="74" s="347" customFormat="1" x14ac:dyDescent="0.25"/>
    <row r="75" s="347" customFormat="1" x14ac:dyDescent="0.25"/>
    <row r="76" s="347" customFormat="1" x14ac:dyDescent="0.25"/>
    <row r="77" s="347" customFormat="1" x14ac:dyDescent="0.25"/>
    <row r="78" s="347" customFormat="1" x14ac:dyDescent="0.25"/>
    <row r="79" s="347" customFormat="1" x14ac:dyDescent="0.25"/>
    <row r="80" s="347" customFormat="1" x14ac:dyDescent="0.25"/>
    <row r="81" s="347" customFormat="1" x14ac:dyDescent="0.25"/>
    <row r="82" s="347" customFormat="1" x14ac:dyDescent="0.25"/>
    <row r="83" s="347" customFormat="1" x14ac:dyDescent="0.25"/>
    <row r="84" s="347" customFormat="1" x14ac:dyDescent="0.25"/>
    <row r="85" s="347" customFormat="1" x14ac:dyDescent="0.25"/>
    <row r="86" s="347" customFormat="1" x14ac:dyDescent="0.25"/>
    <row r="87" s="347" customFormat="1" x14ac:dyDescent="0.25"/>
    <row r="88" s="347" customFormat="1" x14ac:dyDescent="0.25"/>
    <row r="89" s="347" customFormat="1" x14ac:dyDescent="0.25"/>
    <row r="90" s="347" customFormat="1" x14ac:dyDescent="0.25"/>
    <row r="91" s="347" customFormat="1" x14ac:dyDescent="0.25"/>
    <row r="92" s="347" customFormat="1" x14ac:dyDescent="0.25"/>
    <row r="93" s="347" customFormat="1" x14ac:dyDescent="0.25"/>
    <row r="94" s="347" customFormat="1" x14ac:dyDescent="0.25"/>
    <row r="95" s="347" customFormat="1" x14ac:dyDescent="0.25"/>
    <row r="96" s="347" customFormat="1" x14ac:dyDescent="0.25"/>
    <row r="97" s="347" customFormat="1" x14ac:dyDescent="0.25"/>
    <row r="98" s="347" customFormat="1" x14ac:dyDescent="0.25"/>
    <row r="99" s="347" customFormat="1" x14ac:dyDescent="0.25"/>
    <row r="100" s="347" customFormat="1" x14ac:dyDescent="0.25"/>
    <row r="101" s="347" customFormat="1" x14ac:dyDescent="0.25"/>
    <row r="102" s="347" customFormat="1" x14ac:dyDescent="0.25"/>
    <row r="103" s="347" customFormat="1" x14ac:dyDescent="0.25"/>
    <row r="104" s="347" customFormat="1" x14ac:dyDescent="0.25"/>
    <row r="105" s="347" customFormat="1" x14ac:dyDescent="0.25"/>
    <row r="106" s="347" customFormat="1" x14ac:dyDescent="0.25"/>
    <row r="107" s="347" customFormat="1" x14ac:dyDescent="0.25"/>
    <row r="108" s="347" customFormat="1" x14ac:dyDescent="0.25"/>
    <row r="109" s="347" customFormat="1" x14ac:dyDescent="0.25"/>
    <row r="110" s="347" customFormat="1" x14ac:dyDescent="0.25"/>
    <row r="111" s="347" customFormat="1" x14ac:dyDescent="0.25"/>
    <row r="112" s="347" customFormat="1" x14ac:dyDescent="0.25"/>
    <row r="113" s="347" customFormat="1" x14ac:dyDescent="0.25"/>
    <row r="114" s="347" customFormat="1" x14ac:dyDescent="0.25"/>
    <row r="115" s="347" customFormat="1" x14ac:dyDescent="0.25"/>
    <row r="116" s="347" customFormat="1" x14ac:dyDescent="0.25"/>
    <row r="117" s="347" customFormat="1" x14ac:dyDescent="0.25"/>
    <row r="118" s="347" customFormat="1" x14ac:dyDescent="0.25"/>
    <row r="119" s="347" customFormat="1" x14ac:dyDescent="0.25"/>
  </sheetData>
  <sheetProtection password="B8FF" sheet="1" objects="1" scenarios="1" formatCells="0" formatColumns="0" formatRows="0" insertColumns="0" insertRows="0" deleteColumns="0" deleteRows="0"/>
  <mergeCells count="2">
    <mergeCell ref="K2:R2"/>
    <mergeCell ref="B2:I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5"/>
  <sheetViews>
    <sheetView workbookViewId="0">
      <selection activeCell="B32" sqref="B32"/>
    </sheetView>
  </sheetViews>
  <sheetFormatPr defaultRowHeight="15" x14ac:dyDescent="0.25"/>
  <cols>
    <col min="1" max="1" width="9.140625" customWidth="1"/>
    <col min="2" max="2" width="12.85546875" customWidth="1"/>
    <col min="3" max="12" width="9.140625" customWidth="1"/>
    <col min="13" max="13" width="4.5703125" customWidth="1"/>
    <col min="14" max="14" width="9.140625" customWidth="1"/>
    <col min="15" max="15" width="11.140625" customWidth="1"/>
    <col min="16" max="26" width="9.140625" customWidth="1"/>
  </cols>
  <sheetData>
    <row r="1" spans="1:16" ht="18.75" x14ac:dyDescent="0.3">
      <c r="A1" s="690" t="s">
        <v>254</v>
      </c>
      <c r="B1" s="11"/>
      <c r="C1" s="11"/>
      <c r="D1" s="11"/>
      <c r="E1" s="11"/>
      <c r="F1" s="11"/>
      <c r="G1" s="11"/>
      <c r="H1" s="11"/>
      <c r="I1" s="11"/>
      <c r="J1" s="11"/>
    </row>
    <row r="2" spans="1:16" x14ac:dyDescent="0.25">
      <c r="A2" s="4" t="s">
        <v>37</v>
      </c>
    </row>
    <row r="3" spans="1:16" x14ac:dyDescent="0.25">
      <c r="B3" t="s">
        <v>84</v>
      </c>
    </row>
    <row r="4" spans="1:16" x14ac:dyDescent="0.25">
      <c r="A4" t="s">
        <v>33</v>
      </c>
      <c r="B4" s="38">
        <f>IndrctAdj!E5</f>
        <v>0.86</v>
      </c>
      <c r="C4" s="38">
        <f>IndrctAdj!F5</f>
        <v>1.1499999999999999</v>
      </c>
      <c r="D4" s="38">
        <f>IndrctAdj!G5</f>
        <v>1.44</v>
      </c>
      <c r="E4" s="38">
        <f>IndrctAdj!H5</f>
        <v>1.95</v>
      </c>
      <c r="F4" s="38">
        <f>IndrctAdj!I5</f>
        <v>0</v>
      </c>
      <c r="G4" s="38">
        <f>IndrctAdj!J5</f>
        <v>0</v>
      </c>
      <c r="H4" s="38">
        <f>IndrctAdj!K5</f>
        <v>0</v>
      </c>
      <c r="I4" s="38">
        <f>IndrctAdj!L5</f>
        <v>0</v>
      </c>
      <c r="J4" s="38">
        <f>IndrctAdj!M5</f>
        <v>0</v>
      </c>
      <c r="K4" s="38">
        <f>IndrctAdj!N5</f>
        <v>0</v>
      </c>
    </row>
    <row r="5" spans="1:16" x14ac:dyDescent="0.25">
      <c r="A5" s="38">
        <f>IndrctAdj!D8</f>
        <v>0</v>
      </c>
      <c r="B5" s="40">
        <f>IF(IndrctAdj!Q8="",0,IndrctAdj!Q8)</f>
        <v>8.888745599999999E-2</v>
      </c>
      <c r="C5" s="41">
        <f>IF(IndrctAdj!R8="",0,IndrctAdj!R8)</f>
        <v>0.19904416199999997</v>
      </c>
      <c r="D5" s="41">
        <f>IF(IndrctAdj!S8="",0,IndrctAdj!S8)</f>
        <v>0.15223752900000001</v>
      </c>
      <c r="E5" s="41">
        <f>IF(IndrctAdj!T8="",0,IndrctAdj!T8)</f>
        <v>0.18083085299999999</v>
      </c>
      <c r="F5" s="41">
        <f>IF(IndrctAdj!U8="",0,IndrctAdj!U8)</f>
        <v>0</v>
      </c>
      <c r="G5" s="41">
        <f>IF(IndrctAdj!V8="",0,IndrctAdj!V8)</f>
        <v>0</v>
      </c>
      <c r="H5" s="41">
        <f>IF(IndrctAdj!W8="",0,IndrctAdj!W8)</f>
        <v>0</v>
      </c>
      <c r="I5" s="41">
        <f>IF(IndrctAdj!X8="",0,IndrctAdj!X8)</f>
        <v>0</v>
      </c>
      <c r="J5" s="41">
        <f>IF(IndrctAdj!Y8="",0,IndrctAdj!Y8)</f>
        <v>0</v>
      </c>
      <c r="K5" s="42">
        <f>IF(IndrctAdj!Z8="",0,IndrctAdj!Z8)</f>
        <v>0</v>
      </c>
      <c r="L5" s="49">
        <f>SUM(B5:K5)</f>
        <v>0.621</v>
      </c>
      <c r="P5" s="25"/>
    </row>
    <row r="6" spans="1:16" x14ac:dyDescent="0.25">
      <c r="A6" s="38">
        <f>IndrctAdj!D9</f>
        <v>6.6524299999999998</v>
      </c>
      <c r="B6" s="43">
        <f>IF(IndrctAdj!Q9="",0,IndrctAdj!Q9)</f>
        <v>3.5386850000000004E-2</v>
      </c>
      <c r="C6" s="44">
        <f>IF(IndrctAdj!R9="",0,IndrctAdj!R9)</f>
        <v>6.9089650000000002E-2</v>
      </c>
      <c r="D6" s="44">
        <f>IF(IndrctAdj!S9="",0,IndrctAdj!S9)</f>
        <v>5.0840870000000003E-2</v>
      </c>
      <c r="E6" s="44">
        <f>IF(IndrctAdj!T9="",0,IndrctAdj!T9)</f>
        <v>6.2682630000000003E-2</v>
      </c>
      <c r="F6" s="44">
        <f>IF(IndrctAdj!U9="",0,IndrctAdj!U9)</f>
        <v>0</v>
      </c>
      <c r="G6" s="44">
        <f>IF(IndrctAdj!V9="",0,IndrctAdj!V9)</f>
        <v>0</v>
      </c>
      <c r="H6" s="44">
        <f>IF(IndrctAdj!W9="",0,IndrctAdj!W9)</f>
        <v>0</v>
      </c>
      <c r="I6" s="44">
        <f>IF(IndrctAdj!X9="",0,IndrctAdj!X9)</f>
        <v>0</v>
      </c>
      <c r="J6" s="44">
        <f>IF(IndrctAdj!Y9="",0,IndrctAdj!Y9)</f>
        <v>0</v>
      </c>
      <c r="K6" s="45">
        <f>IF(IndrctAdj!Z9="",0,IndrctAdj!Z9)</f>
        <v>0</v>
      </c>
      <c r="L6" s="49">
        <f t="shared" ref="L6:L14" si="0">SUM(B6:K6)</f>
        <v>0.21800000000000003</v>
      </c>
    </row>
    <row r="7" spans="1:16" x14ac:dyDescent="0.25">
      <c r="A7" s="38">
        <f>IndrctAdj!D10</f>
        <v>23.531600000000001</v>
      </c>
      <c r="B7" s="43">
        <f>IF(IndrctAdj!Q10="",0,IndrctAdj!Q10)</f>
        <v>1.2021247999999998E-2</v>
      </c>
      <c r="C7" s="44">
        <f>IF(IndrctAdj!R10="",0,IndrctAdj!R10)</f>
        <v>1.8809011E-2</v>
      </c>
      <c r="D7" s="44">
        <f>IF(IndrctAdj!S10="",0,IndrctAdj!S10)</f>
        <v>1.2621155E-2</v>
      </c>
      <c r="E7" s="44">
        <f>IF(IndrctAdj!T10="",0,IndrctAdj!T10)</f>
        <v>9.5485859999999995E-3</v>
      </c>
      <c r="F7" s="44">
        <f>IF(IndrctAdj!U10="",0,IndrctAdj!U10)</f>
        <v>0</v>
      </c>
      <c r="G7" s="44">
        <f>IF(IndrctAdj!V10="",0,IndrctAdj!V10)</f>
        <v>0</v>
      </c>
      <c r="H7" s="44">
        <f>IF(IndrctAdj!W10="",0,IndrctAdj!W10)</f>
        <v>0</v>
      </c>
      <c r="I7" s="44">
        <f>IF(IndrctAdj!X10="",0,IndrctAdj!X10)</f>
        <v>0</v>
      </c>
      <c r="J7" s="44">
        <f>IF(IndrctAdj!Y10="",0,IndrctAdj!Y10)</f>
        <v>0</v>
      </c>
      <c r="K7" s="45">
        <f>IF(IndrctAdj!Z10="",0,IndrctAdj!Z10)</f>
        <v>0</v>
      </c>
      <c r="L7" s="49">
        <f t="shared" si="0"/>
        <v>5.2999999999999999E-2</v>
      </c>
    </row>
    <row r="8" spans="1:16" x14ac:dyDescent="0.25">
      <c r="A8" s="38">
        <f>IndrctAdj!D11</f>
        <v>33.539400000000001</v>
      </c>
      <c r="B8" s="43">
        <f>IF(IndrctAdj!Q11="",0,IndrctAdj!Q11)</f>
        <v>8.3936580000000018E-3</v>
      </c>
      <c r="C8" s="44">
        <f>IF(IndrctAdj!R11="",0,IndrctAdj!R11)</f>
        <v>1.4304576000000003E-2</v>
      </c>
      <c r="D8" s="44">
        <f>IF(IndrctAdj!S11="",0,IndrctAdj!S11)</f>
        <v>7.7072970000000001E-3</v>
      </c>
      <c r="E8" s="44">
        <f>IF(IndrctAdj!T11="",0,IndrctAdj!T11)</f>
        <v>8.5944689999999987E-3</v>
      </c>
      <c r="F8" s="44">
        <f>IF(IndrctAdj!U11="",0,IndrctAdj!U11)</f>
        <v>0</v>
      </c>
      <c r="G8" s="44">
        <f>IF(IndrctAdj!V11="",0,IndrctAdj!V11)</f>
        <v>0</v>
      </c>
      <c r="H8" s="44">
        <f>IF(IndrctAdj!W11="",0,IndrctAdj!W11)</f>
        <v>0</v>
      </c>
      <c r="I8" s="44">
        <f>IF(IndrctAdj!X11="",0,IndrctAdj!X11)</f>
        <v>0</v>
      </c>
      <c r="J8" s="44">
        <f>IF(IndrctAdj!Y11="",0,IndrctAdj!Y11)</f>
        <v>0</v>
      </c>
      <c r="K8" s="45">
        <f>IF(IndrctAdj!Z11="",0,IndrctAdj!Z11)</f>
        <v>0</v>
      </c>
      <c r="L8" s="49">
        <f t="shared" si="0"/>
        <v>3.9000000000000007E-2</v>
      </c>
    </row>
    <row r="9" spans="1:16" x14ac:dyDescent="0.25">
      <c r="A9" s="38">
        <f>IndrctAdj!D12</f>
        <v>43.674599999999998</v>
      </c>
      <c r="B9" s="43">
        <f>IF(IndrctAdj!Q12="",0,IndrctAdj!Q12)</f>
        <v>6.3998500000000003E-3</v>
      </c>
      <c r="C9" s="44">
        <f>IF(IndrctAdj!R12="",0,IndrctAdj!R12)</f>
        <v>8.7747499999999996E-3</v>
      </c>
      <c r="D9" s="44">
        <f>IF(IndrctAdj!S12="",0,IndrctAdj!S12)</f>
        <v>4.9727750000000005E-3</v>
      </c>
      <c r="E9" s="44">
        <f>IF(IndrctAdj!T12="",0,IndrctAdj!T12)</f>
        <v>4.8526250000000002E-3</v>
      </c>
      <c r="F9" s="44">
        <f>IF(IndrctAdj!U12="",0,IndrctAdj!U12)</f>
        <v>0</v>
      </c>
      <c r="G9" s="44">
        <f>IF(IndrctAdj!V12="",0,IndrctAdj!V12)</f>
        <v>0</v>
      </c>
      <c r="H9" s="44">
        <f>IF(IndrctAdj!W12="",0,IndrctAdj!W12)</f>
        <v>0</v>
      </c>
      <c r="I9" s="44">
        <f>IF(IndrctAdj!X12="",0,IndrctAdj!X12)</f>
        <v>0</v>
      </c>
      <c r="J9" s="44">
        <f>IF(IndrctAdj!Y12="",0,IndrctAdj!Y12)</f>
        <v>0</v>
      </c>
      <c r="K9" s="45">
        <f>IF(IndrctAdj!Z12="",0,IndrctAdj!Z12)</f>
        <v>0</v>
      </c>
      <c r="L9" s="49">
        <f t="shared" si="0"/>
        <v>2.5000000000000001E-2</v>
      </c>
    </row>
    <row r="10" spans="1:16" x14ac:dyDescent="0.25">
      <c r="A10" s="38">
        <f>IndrctAdj!D13</f>
        <v>53.618000000000002</v>
      </c>
      <c r="B10" s="43">
        <f>IF(IndrctAdj!Q13="",0,IndrctAdj!Q13)</f>
        <v>3.9061799999999995E-3</v>
      </c>
      <c r="C10" s="44">
        <f>IF(IndrctAdj!R13="",0,IndrctAdj!R13)</f>
        <v>5.0578799999999998E-3</v>
      </c>
      <c r="D10" s="44">
        <f>IF(IndrctAdj!S13="",0,IndrctAdj!S13)</f>
        <v>2.791815E-3</v>
      </c>
      <c r="E10" s="44">
        <f>IF(IndrctAdj!T13="",0,IndrctAdj!T13)</f>
        <v>3.244125E-3</v>
      </c>
      <c r="F10" s="44">
        <f>IF(IndrctAdj!U13="",0,IndrctAdj!U13)</f>
        <v>0</v>
      </c>
      <c r="G10" s="44">
        <f>IF(IndrctAdj!V13="",0,IndrctAdj!V13)</f>
        <v>0</v>
      </c>
      <c r="H10" s="44">
        <f>IF(IndrctAdj!W13="",0,IndrctAdj!W13)</f>
        <v>0</v>
      </c>
      <c r="I10" s="44">
        <f>IF(IndrctAdj!X13="",0,IndrctAdj!X13)</f>
        <v>0</v>
      </c>
      <c r="J10" s="44">
        <f>IF(IndrctAdj!Y13="",0,IndrctAdj!Y13)</f>
        <v>0</v>
      </c>
      <c r="K10" s="45">
        <f>IF(IndrctAdj!Z13="",0,IndrctAdj!Z13)</f>
        <v>0</v>
      </c>
      <c r="L10" s="49">
        <f t="shared" si="0"/>
        <v>1.4999999999999999E-2</v>
      </c>
    </row>
    <row r="11" spans="1:16" x14ac:dyDescent="0.25">
      <c r="A11" s="38">
        <f>IndrctAdj!D14</f>
        <v>80.8767</v>
      </c>
      <c r="B11" s="43">
        <f>IF(IndrctAdj!Q14="",0,IndrctAdj!Q14)</f>
        <v>7.7397229999999996E-3</v>
      </c>
      <c r="C11" s="44">
        <f>IF(IndrctAdj!R14="",0,IndrctAdj!R14)</f>
        <v>9.6600160000000004E-3</v>
      </c>
      <c r="D11" s="44">
        <f>IF(IndrctAdj!S14="",0,IndrctAdj!S14)</f>
        <v>5.9572380000000001E-3</v>
      </c>
      <c r="E11" s="44">
        <f>IF(IndrctAdj!T14="",0,IndrctAdj!T14)</f>
        <v>5.6430230000000005E-3</v>
      </c>
      <c r="F11" s="44">
        <f>IF(IndrctAdj!U14="",0,IndrctAdj!U14)</f>
        <v>0</v>
      </c>
      <c r="G11" s="44">
        <f>IF(IndrctAdj!V14="",0,IndrctAdj!V14)</f>
        <v>0</v>
      </c>
      <c r="H11" s="44">
        <f>IF(IndrctAdj!W14="",0,IndrctAdj!W14)</f>
        <v>0</v>
      </c>
      <c r="I11" s="44">
        <f>IF(IndrctAdj!X14="",0,IndrctAdj!X14)</f>
        <v>0</v>
      </c>
      <c r="J11" s="44">
        <f>IF(IndrctAdj!Y14="",0,IndrctAdj!Y14)</f>
        <v>0</v>
      </c>
      <c r="K11" s="45">
        <f>IF(IndrctAdj!Z14="",0,IndrctAdj!Z14)</f>
        <v>0</v>
      </c>
      <c r="L11" s="49">
        <f t="shared" si="0"/>
        <v>2.9000000000000001E-2</v>
      </c>
    </row>
    <row r="12" spans="1:16" x14ac:dyDescent="0.25">
      <c r="A12" s="38">
        <f>IndrctAdj!D15</f>
        <v>0</v>
      </c>
      <c r="B12" s="43">
        <f>IF(IndrctAdj!Q15="",0,IndrctAdj!Q15)</f>
        <v>0</v>
      </c>
      <c r="C12" s="44">
        <f>IF(IndrctAdj!R15="",0,IndrctAdj!R15)</f>
        <v>0</v>
      </c>
      <c r="D12" s="44">
        <f>IF(IndrctAdj!S15="",0,IndrctAdj!S15)</f>
        <v>0</v>
      </c>
      <c r="E12" s="44">
        <f>IF(IndrctAdj!T15="",0,IndrctAdj!T15)</f>
        <v>0</v>
      </c>
      <c r="F12" s="44">
        <f>IF(IndrctAdj!U15="",0,IndrctAdj!U15)</f>
        <v>0</v>
      </c>
      <c r="G12" s="44">
        <f>IF(IndrctAdj!V15="",0,IndrctAdj!V15)</f>
        <v>0</v>
      </c>
      <c r="H12" s="44">
        <f>IF(IndrctAdj!W15="",0,IndrctAdj!W15)</f>
        <v>0</v>
      </c>
      <c r="I12" s="44">
        <f>IF(IndrctAdj!X15="",0,IndrctAdj!X15)</f>
        <v>0</v>
      </c>
      <c r="J12" s="44">
        <f>IF(IndrctAdj!Y15="",0,IndrctAdj!Y15)</f>
        <v>0</v>
      </c>
      <c r="K12" s="45">
        <f>IF(IndrctAdj!Z15="",0,IndrctAdj!Z15)</f>
        <v>0</v>
      </c>
      <c r="L12" s="49">
        <f t="shared" si="0"/>
        <v>0</v>
      </c>
    </row>
    <row r="13" spans="1:16" x14ac:dyDescent="0.25">
      <c r="A13" s="38">
        <f>IndrctAdj!D16</f>
        <v>0</v>
      </c>
      <c r="B13" s="43">
        <f>IF(IndrctAdj!Q16="",0,IndrctAdj!Q16)</f>
        <v>0</v>
      </c>
      <c r="C13" s="44">
        <f>IF(IndrctAdj!R16="",0,IndrctAdj!R16)</f>
        <v>0</v>
      </c>
      <c r="D13" s="44">
        <f>IF(IndrctAdj!S16="",0,IndrctAdj!S16)</f>
        <v>0</v>
      </c>
      <c r="E13" s="44">
        <f>IF(IndrctAdj!T16="",0,IndrctAdj!T16)</f>
        <v>0</v>
      </c>
      <c r="F13" s="44">
        <f>IF(IndrctAdj!U16="",0,IndrctAdj!U16)</f>
        <v>0</v>
      </c>
      <c r="G13" s="44">
        <f>IF(IndrctAdj!V16="",0,IndrctAdj!V16)</f>
        <v>0</v>
      </c>
      <c r="H13" s="44">
        <f>IF(IndrctAdj!W16="",0,IndrctAdj!W16)</f>
        <v>0</v>
      </c>
      <c r="I13" s="44">
        <f>IF(IndrctAdj!X16="",0,IndrctAdj!X16)</f>
        <v>0</v>
      </c>
      <c r="J13" s="44">
        <f>IF(IndrctAdj!Y16="",0,IndrctAdj!Y16)</f>
        <v>0</v>
      </c>
      <c r="K13" s="45">
        <f>IF(IndrctAdj!Z16="",0,IndrctAdj!Z16)</f>
        <v>0</v>
      </c>
      <c r="L13" s="49">
        <f t="shared" si="0"/>
        <v>0</v>
      </c>
    </row>
    <row r="14" spans="1:16" x14ac:dyDescent="0.25">
      <c r="A14" s="38">
        <f>IndrctAdj!D17</f>
        <v>0</v>
      </c>
      <c r="B14" s="43">
        <f>IF(IndrctAdj!Q17="",0,IndrctAdj!Q17)</f>
        <v>0</v>
      </c>
      <c r="C14" s="44">
        <f>IF(IndrctAdj!R17="",0,IndrctAdj!R17)</f>
        <v>0</v>
      </c>
      <c r="D14" s="44">
        <f>IF(IndrctAdj!S17="",0,IndrctAdj!S17)</f>
        <v>0</v>
      </c>
      <c r="E14" s="44">
        <f>IF(IndrctAdj!T17="",0,IndrctAdj!T17)</f>
        <v>0</v>
      </c>
      <c r="F14" s="44">
        <f>IF(IndrctAdj!U17="",0,IndrctAdj!U17)</f>
        <v>0</v>
      </c>
      <c r="G14" s="44">
        <f>IF(IndrctAdj!V17="",0,IndrctAdj!V17)</f>
        <v>0</v>
      </c>
      <c r="H14" s="44">
        <f>IF(IndrctAdj!W17="",0,IndrctAdj!W17)</f>
        <v>0</v>
      </c>
      <c r="I14" s="44">
        <f>IF(IndrctAdj!X17="",0,IndrctAdj!X17)</f>
        <v>0</v>
      </c>
      <c r="J14" s="44">
        <f>IF(IndrctAdj!Y17="",0,IndrctAdj!Y17)</f>
        <v>0</v>
      </c>
      <c r="K14" s="45">
        <f>IF(IndrctAdj!Z17="",0,IndrctAdj!Z17)</f>
        <v>0</v>
      </c>
      <c r="L14" s="49">
        <f t="shared" si="0"/>
        <v>0</v>
      </c>
    </row>
    <row r="15" spans="1:16" x14ac:dyDescent="0.25">
      <c r="A15" s="38">
        <f>IndrctAdj!D18</f>
        <v>0</v>
      </c>
      <c r="B15" s="43">
        <f>IF(IndrctAdj!Q18="",0,IndrctAdj!Q18)</f>
        <v>0</v>
      </c>
      <c r="C15" s="44">
        <f>IF(IndrctAdj!R18="",0,IndrctAdj!R18)</f>
        <v>0</v>
      </c>
      <c r="D15" s="44">
        <f>IF(IndrctAdj!S18="",0,IndrctAdj!S18)</f>
        <v>0</v>
      </c>
      <c r="E15" s="44">
        <f>IF(IndrctAdj!T18="",0,IndrctAdj!T18)</f>
        <v>0</v>
      </c>
      <c r="F15" s="44">
        <f>IF(IndrctAdj!U18="",0,IndrctAdj!U18)</f>
        <v>0</v>
      </c>
      <c r="G15" s="44">
        <f>IF(IndrctAdj!V18="",0,IndrctAdj!V18)</f>
        <v>0</v>
      </c>
      <c r="H15" s="44">
        <f>IF(IndrctAdj!W18="",0,IndrctAdj!W18)</f>
        <v>0</v>
      </c>
      <c r="I15" s="44">
        <f>IF(IndrctAdj!X18="",0,IndrctAdj!X18)</f>
        <v>0</v>
      </c>
      <c r="J15" s="44">
        <f>IF(IndrctAdj!Y18="",0,IndrctAdj!Y18)</f>
        <v>0</v>
      </c>
      <c r="K15" s="45">
        <f>IF(IndrctAdj!Z18="",0,IndrctAdj!Z18)</f>
        <v>0</v>
      </c>
      <c r="L15" s="49">
        <f>SUM(B15:K15)</f>
        <v>0</v>
      </c>
    </row>
    <row r="16" spans="1:16" x14ac:dyDescent="0.25">
      <c r="A16" s="38">
        <f>IndrctAdj!D19</f>
        <v>0</v>
      </c>
      <c r="B16" s="43">
        <f>IF(IndrctAdj!Q19="",0,IndrctAdj!Q19)</f>
        <v>0</v>
      </c>
      <c r="C16" s="44">
        <f>IF(IndrctAdj!R19="",0,IndrctAdj!R19)</f>
        <v>0</v>
      </c>
      <c r="D16" s="44">
        <f>IF(IndrctAdj!S19="",0,IndrctAdj!S19)</f>
        <v>0</v>
      </c>
      <c r="E16" s="44">
        <f>IF(IndrctAdj!T19="",0,IndrctAdj!T19)</f>
        <v>0</v>
      </c>
      <c r="F16" s="44">
        <f>IF(IndrctAdj!U19="",0,IndrctAdj!U19)</f>
        <v>0</v>
      </c>
      <c r="G16" s="44">
        <f>IF(IndrctAdj!V19="",0,IndrctAdj!V19)</f>
        <v>0</v>
      </c>
      <c r="H16" s="44">
        <f>IF(IndrctAdj!W19="",0,IndrctAdj!W19)</f>
        <v>0</v>
      </c>
      <c r="I16" s="44">
        <f>IF(IndrctAdj!X19="",0,IndrctAdj!X19)</f>
        <v>0</v>
      </c>
      <c r="J16" s="44">
        <f>IF(IndrctAdj!Y19="",0,IndrctAdj!Y19)</f>
        <v>0</v>
      </c>
      <c r="K16" s="45">
        <f>IF(IndrctAdj!Z19="",0,IndrctAdj!Z19)</f>
        <v>0</v>
      </c>
      <c r="L16" s="49">
        <f t="shared" ref="L16:L20" si="1">SUM(B16:K16)</f>
        <v>0</v>
      </c>
    </row>
    <row r="17" spans="1:12" x14ac:dyDescent="0.25">
      <c r="A17" s="38">
        <f>IndrctAdj!D20</f>
        <v>0</v>
      </c>
      <c r="B17" s="43">
        <f>IF(IndrctAdj!Q20="",0,IndrctAdj!Q20)</f>
        <v>0</v>
      </c>
      <c r="C17" s="44">
        <f>IF(IndrctAdj!R20="",0,IndrctAdj!R20)</f>
        <v>0</v>
      </c>
      <c r="D17" s="44">
        <f>IF(IndrctAdj!S20="",0,IndrctAdj!S20)</f>
        <v>0</v>
      </c>
      <c r="E17" s="44">
        <f>IF(IndrctAdj!T20="",0,IndrctAdj!T20)</f>
        <v>0</v>
      </c>
      <c r="F17" s="44">
        <f>IF(IndrctAdj!U20="",0,IndrctAdj!U20)</f>
        <v>0</v>
      </c>
      <c r="G17" s="44">
        <f>IF(IndrctAdj!V20="",0,IndrctAdj!V20)</f>
        <v>0</v>
      </c>
      <c r="H17" s="44">
        <f>IF(IndrctAdj!W20="",0,IndrctAdj!W20)</f>
        <v>0</v>
      </c>
      <c r="I17" s="44">
        <f>IF(IndrctAdj!X20="",0,IndrctAdj!X20)</f>
        <v>0</v>
      </c>
      <c r="J17" s="44">
        <f>IF(IndrctAdj!Y20="",0,IndrctAdj!Y20)</f>
        <v>0</v>
      </c>
      <c r="K17" s="45">
        <f>IF(IndrctAdj!Z20="",0,IndrctAdj!Z20)</f>
        <v>0</v>
      </c>
      <c r="L17" s="49">
        <f t="shared" si="1"/>
        <v>0</v>
      </c>
    </row>
    <row r="18" spans="1:12" x14ac:dyDescent="0.25">
      <c r="A18" s="38">
        <f>IndrctAdj!D21</f>
        <v>0</v>
      </c>
      <c r="B18" s="43">
        <f>IF(IndrctAdj!Q21="",0,IndrctAdj!Q21)</f>
        <v>0</v>
      </c>
      <c r="C18" s="44">
        <f>IF(IndrctAdj!R21="",0,IndrctAdj!R21)</f>
        <v>0</v>
      </c>
      <c r="D18" s="44">
        <f>IF(IndrctAdj!S21="",0,IndrctAdj!S21)</f>
        <v>0</v>
      </c>
      <c r="E18" s="44">
        <f>IF(IndrctAdj!T21="",0,IndrctAdj!T21)</f>
        <v>0</v>
      </c>
      <c r="F18" s="44">
        <f>IF(IndrctAdj!U21="",0,IndrctAdj!U21)</f>
        <v>0</v>
      </c>
      <c r="G18" s="44">
        <f>IF(IndrctAdj!V21="",0,IndrctAdj!V21)</f>
        <v>0</v>
      </c>
      <c r="H18" s="44">
        <f>IF(IndrctAdj!W21="",0,IndrctAdj!W21)</f>
        <v>0</v>
      </c>
      <c r="I18" s="44">
        <f>IF(IndrctAdj!X21="",0,IndrctAdj!X21)</f>
        <v>0</v>
      </c>
      <c r="J18" s="44">
        <f>IF(IndrctAdj!Y21="",0,IndrctAdj!Y21)</f>
        <v>0</v>
      </c>
      <c r="K18" s="45">
        <f>IF(IndrctAdj!Z21="",0,IndrctAdj!Z21)</f>
        <v>0</v>
      </c>
      <c r="L18" s="49">
        <f t="shared" si="1"/>
        <v>0</v>
      </c>
    </row>
    <row r="19" spans="1:12" x14ac:dyDescent="0.25">
      <c r="A19" s="38">
        <f>IndrctAdj!D22</f>
        <v>0</v>
      </c>
      <c r="B19" s="43">
        <f>IF(IndrctAdj!Q22="",0,IndrctAdj!Q22)</f>
        <v>0</v>
      </c>
      <c r="C19" s="44">
        <f>IF(IndrctAdj!R22="",0,IndrctAdj!R22)</f>
        <v>0</v>
      </c>
      <c r="D19" s="44">
        <f>IF(IndrctAdj!S22="",0,IndrctAdj!S22)</f>
        <v>0</v>
      </c>
      <c r="E19" s="44">
        <f>IF(IndrctAdj!T22="",0,IndrctAdj!T22)</f>
        <v>0</v>
      </c>
      <c r="F19" s="44">
        <f>IF(IndrctAdj!U22="",0,IndrctAdj!U22)</f>
        <v>0</v>
      </c>
      <c r="G19" s="44">
        <f>IF(IndrctAdj!V22="",0,IndrctAdj!V22)</f>
        <v>0</v>
      </c>
      <c r="H19" s="44">
        <f>IF(IndrctAdj!W22="",0,IndrctAdj!W22)</f>
        <v>0</v>
      </c>
      <c r="I19" s="44">
        <f>IF(IndrctAdj!X22="",0,IndrctAdj!X22)</f>
        <v>0</v>
      </c>
      <c r="J19" s="44">
        <f>IF(IndrctAdj!Y22="",0,IndrctAdj!Y22)</f>
        <v>0</v>
      </c>
      <c r="K19" s="45">
        <f>IF(IndrctAdj!Z22="",0,IndrctAdj!Z22)</f>
        <v>0</v>
      </c>
      <c r="L19" s="49">
        <f t="shared" si="1"/>
        <v>0</v>
      </c>
    </row>
    <row r="20" spans="1:12" x14ac:dyDescent="0.25">
      <c r="A20" s="38">
        <f>IndrctAdj!D23</f>
        <v>0</v>
      </c>
      <c r="B20" s="46">
        <f>IF(IndrctAdj!Q23="",0,IndrctAdj!Q23)</f>
        <v>0</v>
      </c>
      <c r="C20" s="47">
        <f>IF(IndrctAdj!R23="",0,IndrctAdj!R23)</f>
        <v>0</v>
      </c>
      <c r="D20" s="47">
        <f>IF(IndrctAdj!S23="",0,IndrctAdj!S23)</f>
        <v>0</v>
      </c>
      <c r="E20" s="47">
        <f>IF(IndrctAdj!T23="",0,IndrctAdj!T23)</f>
        <v>0</v>
      </c>
      <c r="F20" s="47">
        <f>IF(IndrctAdj!U23="",0,IndrctAdj!U23)</f>
        <v>0</v>
      </c>
      <c r="G20" s="47">
        <f>IF(IndrctAdj!V23="",0,IndrctAdj!V23)</f>
        <v>0</v>
      </c>
      <c r="H20" s="47">
        <f>IF(IndrctAdj!W23="",0,IndrctAdj!W23)</f>
        <v>0</v>
      </c>
      <c r="I20" s="47">
        <f>IF(IndrctAdj!X23="",0,IndrctAdj!X23)</f>
        <v>0</v>
      </c>
      <c r="J20" s="47">
        <f>IF(IndrctAdj!Y23="",0,IndrctAdj!Y23)</f>
        <v>0</v>
      </c>
      <c r="K20" s="48">
        <f>IF(IndrctAdj!Z23="",0,IndrctAdj!Z23)</f>
        <v>0</v>
      </c>
      <c r="L20" s="49">
        <f t="shared" si="1"/>
        <v>0</v>
      </c>
    </row>
    <row r="21" spans="1:12" x14ac:dyDescent="0.25">
      <c r="B21" s="49">
        <f>SUM(B5:B20)</f>
        <v>0.16273496500000001</v>
      </c>
      <c r="C21" s="49">
        <f t="shared" ref="C21:L21" si="2">SUM(C5:C20)</f>
        <v>0.32474004499999998</v>
      </c>
      <c r="D21" s="49">
        <f t="shared" si="2"/>
        <v>0.23712867900000004</v>
      </c>
      <c r="E21" s="49">
        <f t="shared" si="2"/>
        <v>0.275396311</v>
      </c>
      <c r="F21" s="49">
        <f t="shared" si="2"/>
        <v>0</v>
      </c>
      <c r="G21" s="49">
        <f t="shared" si="2"/>
        <v>0</v>
      </c>
      <c r="H21" s="49">
        <f t="shared" si="2"/>
        <v>0</v>
      </c>
      <c r="I21" s="49">
        <f t="shared" si="2"/>
        <v>0</v>
      </c>
      <c r="J21" s="49">
        <f t="shared" si="2"/>
        <v>0</v>
      </c>
      <c r="K21" s="49">
        <f t="shared" si="2"/>
        <v>0</v>
      </c>
      <c r="L21" s="49">
        <f t="shared" si="2"/>
        <v>1</v>
      </c>
    </row>
    <row r="22" spans="1:12" x14ac:dyDescent="0.25">
      <c r="B22" s="49"/>
      <c r="C22" s="49"/>
      <c r="D22" s="49"/>
      <c r="E22" s="49"/>
      <c r="F22" s="49"/>
      <c r="G22" s="49"/>
      <c r="H22" s="49"/>
      <c r="I22" s="49"/>
      <c r="J22" s="49"/>
      <c r="K22" s="49"/>
      <c r="L22" s="49"/>
    </row>
    <row r="23" spans="1:12" x14ac:dyDescent="0.25">
      <c r="A23" s="4" t="s">
        <v>34</v>
      </c>
      <c r="B23" s="50">
        <f t="array" ref="B23">MMULT(TRANSPOSE(A5:A20),L5:L20)</f>
        <v>8.2470004400000008</v>
      </c>
      <c r="D23" s="4"/>
    </row>
    <row r="24" spans="1:12" x14ac:dyDescent="0.25">
      <c r="A24" s="4" t="s">
        <v>85</v>
      </c>
      <c r="B24" s="50">
        <f t="array" ref="B24">MMULT((B4:K4),TRANSPOSE(B21:K21))</f>
        <v>1.39189122586</v>
      </c>
      <c r="D24" s="197"/>
      <c r="E24" s="197"/>
    </row>
    <row r="25" spans="1:12" x14ac:dyDescent="0.25">
      <c r="A25" s="4"/>
      <c r="B25" s="50"/>
      <c r="D25" s="197"/>
      <c r="E25" s="197"/>
    </row>
    <row r="26" spans="1:12" x14ac:dyDescent="0.25">
      <c r="A26" s="4" t="s">
        <v>35</v>
      </c>
      <c r="B26" s="50">
        <f t="array" ref="B26">SUM((A5:A20)^2 * (L5:L20))- B23^2</f>
        <v>295.353610310438</v>
      </c>
    </row>
    <row r="27" spans="1:12" x14ac:dyDescent="0.25">
      <c r="A27" s="4" t="s">
        <v>86</v>
      </c>
      <c r="B27" s="50">
        <f t="array" ref="B27">SUM((B4:K4)^2 * (B21:K21))-B24^2</f>
        <v>0.15137080635234623</v>
      </c>
    </row>
    <row r="28" spans="1:12" x14ac:dyDescent="0.25">
      <c r="A28" s="4" t="s">
        <v>87</v>
      </c>
      <c r="B28" s="50">
        <f t="array" ref="B28">SUM(MMULT(A5:A20,B4:K4)*(B5:K20)) - B23*B24</f>
        <v>-0.62708806510345205</v>
      </c>
    </row>
    <row r="29" spans="1:12" x14ac:dyDescent="0.25">
      <c r="A29" s="4" t="s">
        <v>36</v>
      </c>
      <c r="B29" s="50">
        <f>B28/SQRT(B27*B26)</f>
        <v>-9.3785636690396745E-2</v>
      </c>
    </row>
    <row r="30" spans="1:12" x14ac:dyDescent="0.25">
      <c r="B30" s="197" t="s">
        <v>268</v>
      </c>
      <c r="C30" s="197" t="s">
        <v>269</v>
      </c>
    </row>
    <row r="31" spans="1:12" x14ac:dyDescent="0.25">
      <c r="A31" s="9" t="s">
        <v>31</v>
      </c>
      <c r="B31" s="80">
        <f>16-COUNTBLANK(IndrctAdj!D8:'IndrctAdj'!D23)</f>
        <v>7</v>
      </c>
      <c r="C31" s="174">
        <f>COUNTIF(L5:L20,"&gt;0")</f>
        <v>7</v>
      </c>
      <c r="D31" s="722">
        <f>(B31=C31)*(B32=C32)</f>
        <v>1</v>
      </c>
    </row>
    <row r="32" spans="1:12" x14ac:dyDescent="0.25">
      <c r="A32" s="9" t="s">
        <v>147</v>
      </c>
      <c r="B32" s="26">
        <f>10-COUNTBLANK(IndrctAdj!E5:'IndrctAdj'!N5)</f>
        <v>4</v>
      </c>
      <c r="C32" s="27">
        <f>COUNTIF(B21:K21,"&gt;0")</f>
        <v>4</v>
      </c>
    </row>
    <row r="35" spans="2:2" x14ac:dyDescent="0.25">
      <c r="B35" s="7"/>
    </row>
  </sheetData>
  <sheetProtection algorithmName="SHA-512" hashValue="iarPQ8qWs36T6UMbT0axR760pDS7VE1s73ne7wVkJvXCEyAJ4EiJHuiUdtUqomw/v9J5NO1J9Nipkl36iCoTkQ==" saltValue="TErlB9Y2LT22QwOIyIAfX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Z433"/>
  <sheetViews>
    <sheetView zoomScale="90" zoomScaleNormal="90" workbookViewId="0">
      <selection activeCell="N11" sqref="N11"/>
    </sheetView>
  </sheetViews>
  <sheetFormatPr defaultRowHeight="15" x14ac:dyDescent="0.25"/>
  <cols>
    <col min="1" max="1" width="2" style="355" customWidth="1"/>
    <col min="2" max="2" width="12" style="355" customWidth="1"/>
    <col min="3" max="5" width="11" style="355" customWidth="1"/>
    <col min="6" max="7" width="14" style="355" customWidth="1"/>
    <col min="8" max="8" width="13.28515625" style="355" customWidth="1"/>
    <col min="9" max="10" width="12.140625" style="355" customWidth="1"/>
    <col min="11" max="12" width="11" style="355" customWidth="1"/>
    <col min="13" max="13" width="13.42578125" style="355" customWidth="1"/>
    <col min="14" max="14" width="16" style="355" customWidth="1"/>
    <col min="15" max="15" width="16.140625" style="355" customWidth="1"/>
    <col min="16" max="16" width="15.140625" style="355" customWidth="1"/>
    <col min="17" max="17" width="12.42578125" style="362" customWidth="1"/>
    <col min="18" max="18" width="12.42578125" style="355" customWidth="1"/>
    <col min="19" max="19" width="12.7109375" style="355" customWidth="1"/>
    <col min="20" max="20" width="12" style="355" customWidth="1"/>
    <col min="21" max="24" width="10.7109375" style="355" customWidth="1"/>
    <col min="25" max="25" width="15.42578125" style="355" customWidth="1"/>
    <col min="26" max="26" width="11" style="355" customWidth="1"/>
    <col min="27" max="29" width="9.7109375" style="355" customWidth="1"/>
    <col min="30" max="30" width="8.42578125" style="355" customWidth="1"/>
    <col min="31" max="33" width="9.7109375" style="355" customWidth="1"/>
    <col min="34" max="39" width="9.140625" style="355" customWidth="1"/>
    <col min="40" max="16384" width="9.140625" style="355"/>
  </cols>
  <sheetData>
    <row r="1" spans="2:18" ht="11.25" customHeight="1" thickBot="1" x14ac:dyDescent="0.3"/>
    <row r="2" spans="2:18" ht="21.75" thickBot="1" x14ac:dyDescent="0.4">
      <c r="B2" s="929" t="s">
        <v>327</v>
      </c>
      <c r="C2" s="930"/>
      <c r="D2" s="930"/>
      <c r="E2" s="930"/>
      <c r="F2" s="930"/>
      <c r="G2" s="930"/>
      <c r="H2" s="930"/>
      <c r="I2" s="930"/>
      <c r="J2" s="930"/>
      <c r="K2" s="930"/>
      <c r="L2" s="930"/>
      <c r="M2" s="931"/>
    </row>
    <row r="3" spans="2:18" ht="15" customHeight="1" thickBot="1" x14ac:dyDescent="0.3">
      <c r="B3" s="332"/>
      <c r="C3" s="673"/>
      <c r="D3" s="673"/>
      <c r="E3" s="673"/>
      <c r="F3" s="673"/>
      <c r="G3" s="808"/>
      <c r="H3" s="679"/>
      <c r="I3" s="679"/>
      <c r="J3" s="679"/>
      <c r="K3" s="679"/>
      <c r="L3" s="679"/>
      <c r="M3" s="809"/>
    </row>
    <row r="4" spans="2:18" ht="18" customHeight="1" thickBot="1" x14ac:dyDescent="0.3">
      <c r="B4" s="810"/>
      <c r="C4" s="907" t="s">
        <v>153</v>
      </c>
      <c r="D4" s="922"/>
      <c r="E4" s="922"/>
      <c r="F4" s="922"/>
      <c r="G4" s="922"/>
      <c r="H4" s="922"/>
      <c r="I4" s="922"/>
      <c r="J4" s="922"/>
      <c r="K4" s="922"/>
      <c r="L4" s="908"/>
      <c r="M4" s="811"/>
      <c r="N4" s="437"/>
      <c r="Q4" s="355"/>
      <c r="R4" s="362"/>
    </row>
    <row r="5" spans="2:18" ht="15" customHeight="1" thickBot="1" x14ac:dyDescent="0.3">
      <c r="B5" s="812"/>
      <c r="C5" s="792">
        <v>0</v>
      </c>
      <c r="D5" s="331">
        <v>1</v>
      </c>
      <c r="E5" s="331">
        <v>2</v>
      </c>
      <c r="F5" s="331">
        <v>3</v>
      </c>
      <c r="G5" s="331">
        <v>4</v>
      </c>
      <c r="H5" s="331">
        <v>5</v>
      </c>
      <c r="I5" s="331">
        <v>6</v>
      </c>
      <c r="J5" s="331">
        <v>7</v>
      </c>
      <c r="K5" s="331">
        <v>8</v>
      </c>
      <c r="L5" s="793">
        <v>9</v>
      </c>
      <c r="M5" s="302" t="s">
        <v>3</v>
      </c>
      <c r="N5" s="434" t="str">
        <f>IF(COUNTBLANK(N6:N15)=10,"","Warning:")</f>
        <v/>
      </c>
      <c r="O5" s="374"/>
      <c r="P5" s="374"/>
      <c r="Q5" s="374"/>
      <c r="R5" s="362"/>
    </row>
    <row r="6" spans="2:18" ht="15" customHeight="1" x14ac:dyDescent="0.25">
      <c r="B6" s="813" t="s">
        <v>46</v>
      </c>
      <c r="C6" s="222">
        <v>0.156</v>
      </c>
      <c r="D6" s="223">
        <v>0.33300000000000002</v>
      </c>
      <c r="E6" s="223">
        <v>0.25900000000000001</v>
      </c>
      <c r="F6" s="223">
        <v>0.115</v>
      </c>
      <c r="G6" s="223">
        <v>9.8000000000000004E-2</v>
      </c>
      <c r="H6" s="223">
        <v>3.9E-2</v>
      </c>
      <c r="I6" s="223"/>
      <c r="J6" s="223"/>
      <c r="K6" s="223"/>
      <c r="L6" s="224"/>
      <c r="M6" s="319">
        <f>IF(MultMdl!R6=0,"",SUM(C6:L6))</f>
        <v>1</v>
      </c>
      <c r="N6" s="439" t="str">
        <f>IF(M6="","",IF(ABS(M6-1)&lt;tol_Pr,"","**P(C|X) ≠ 1**"))</f>
        <v/>
      </c>
      <c r="O6" s="749"/>
      <c r="P6" s="749"/>
      <c r="Q6" s="748"/>
      <c r="R6" s="748"/>
    </row>
    <row r="7" spans="2:18" ht="15" customHeight="1" x14ac:dyDescent="0.25">
      <c r="B7" s="813" t="s">
        <v>44</v>
      </c>
      <c r="C7" s="225">
        <v>0.20300000000000001</v>
      </c>
      <c r="D7" s="205">
        <v>0.34</v>
      </c>
      <c r="E7" s="205">
        <v>0.23499999999999999</v>
      </c>
      <c r="F7" s="205">
        <v>0.10299999999999999</v>
      </c>
      <c r="G7" s="205">
        <v>8.3000000000000004E-2</v>
      </c>
      <c r="H7" s="205">
        <v>3.5999999999999997E-2</v>
      </c>
      <c r="I7" s="205"/>
      <c r="J7" s="205"/>
      <c r="K7" s="205"/>
      <c r="L7" s="226"/>
      <c r="M7" s="321">
        <f>IF(MultMdl!R7=0,"",SUM(C7:L7))</f>
        <v>1</v>
      </c>
      <c r="N7" s="442" t="str">
        <f t="shared" ref="N7:N15" si="0">IF(M7="","",IF(ABS(M7-1)&lt;tol_Pr,"","**P(C|X) ≠ 1**"))</f>
        <v/>
      </c>
      <c r="O7" s="749"/>
      <c r="P7" s="750"/>
      <c r="Q7" s="748"/>
      <c r="R7" s="748"/>
    </row>
    <row r="8" spans="2:18" ht="15" customHeight="1" x14ac:dyDescent="0.25">
      <c r="B8" s="813" t="s">
        <v>45</v>
      </c>
      <c r="C8" s="225">
        <v>0.25600000000000001</v>
      </c>
      <c r="D8" s="205">
        <v>0.36699999999999999</v>
      </c>
      <c r="E8" s="205">
        <v>0.20200000000000001</v>
      </c>
      <c r="F8" s="205">
        <v>7.9000000000000001E-2</v>
      </c>
      <c r="G8" s="205">
        <v>6.7000000000000004E-2</v>
      </c>
      <c r="H8" s="205">
        <v>2.9000000000000001E-2</v>
      </c>
      <c r="I8" s="205"/>
      <c r="J8" s="205"/>
      <c r="K8" s="205"/>
      <c r="L8" s="226"/>
      <c r="M8" s="321">
        <f>IF(MultMdl!R8=0,"",SUM(C8:L8))</f>
        <v>0.99999999999999989</v>
      </c>
      <c r="N8" s="442" t="str">
        <f t="shared" si="0"/>
        <v/>
      </c>
      <c r="O8" s="749"/>
      <c r="P8" s="750"/>
      <c r="Q8" s="748"/>
      <c r="R8" s="748"/>
    </row>
    <row r="9" spans="2:18" ht="15" customHeight="1" x14ac:dyDescent="0.25">
      <c r="B9" s="813" t="s">
        <v>47</v>
      </c>
      <c r="C9" s="225">
        <v>0.24</v>
      </c>
      <c r="D9" s="205">
        <v>0.35399999999999998</v>
      </c>
      <c r="E9" s="205">
        <v>0.20100000000000001</v>
      </c>
      <c r="F9" s="205">
        <v>8.7999999999999995E-2</v>
      </c>
      <c r="G9" s="205">
        <v>8.5999999999999993E-2</v>
      </c>
      <c r="H9" s="205">
        <v>3.1E-2</v>
      </c>
      <c r="I9" s="205"/>
      <c r="J9" s="205"/>
      <c r="K9" s="205"/>
      <c r="L9" s="226"/>
      <c r="M9" s="321">
        <f>IF(MultMdl!R9=0,"",SUM(C9:L9))</f>
        <v>0.99999999999999989</v>
      </c>
      <c r="N9" s="442" t="str">
        <f t="shared" si="0"/>
        <v/>
      </c>
      <c r="O9" s="749"/>
      <c r="P9" s="750"/>
      <c r="Q9" s="748"/>
      <c r="R9" s="748"/>
    </row>
    <row r="10" spans="2:18" ht="15" customHeight="1" x14ac:dyDescent="0.25">
      <c r="B10" s="813" t="s">
        <v>48</v>
      </c>
      <c r="C10" s="225">
        <v>0.254</v>
      </c>
      <c r="D10" s="205">
        <v>0.35</v>
      </c>
      <c r="E10" s="205">
        <v>0.21</v>
      </c>
      <c r="F10" s="205">
        <v>8.6999999999999994E-2</v>
      </c>
      <c r="G10" s="205">
        <v>6.3E-2</v>
      </c>
      <c r="H10" s="205">
        <v>3.5999999999999997E-2</v>
      </c>
      <c r="I10" s="205"/>
      <c r="J10" s="205"/>
      <c r="K10" s="205"/>
      <c r="L10" s="226"/>
      <c r="M10" s="321">
        <f>IF(MultMdl!R10=0,"",SUM(C10:L10))</f>
        <v>1</v>
      </c>
      <c r="N10" s="442" t="str">
        <f t="shared" si="0"/>
        <v/>
      </c>
      <c r="O10" s="749"/>
      <c r="P10" s="750"/>
      <c r="Q10" s="748"/>
      <c r="R10" s="748"/>
    </row>
    <row r="11" spans="2:18" ht="15" customHeight="1" x14ac:dyDescent="0.25">
      <c r="B11" s="813" t="s">
        <v>49</v>
      </c>
      <c r="C11" s="225">
        <v>0.23799999999999999</v>
      </c>
      <c r="D11" s="205">
        <v>0.35699999999999998</v>
      </c>
      <c r="E11" s="205">
        <v>0.191</v>
      </c>
      <c r="F11" s="205">
        <v>7.6999999999999999E-2</v>
      </c>
      <c r="G11" s="205">
        <v>8.7999999999999995E-2</v>
      </c>
      <c r="H11" s="205">
        <v>4.9000000000000002E-2</v>
      </c>
      <c r="I11" s="205"/>
      <c r="J11" s="205"/>
      <c r="K11" s="205"/>
      <c r="L11" s="226"/>
      <c r="M11" s="321">
        <f>IF(MultMdl!R11=0,"",SUM(C11:L11))</f>
        <v>1</v>
      </c>
      <c r="N11" s="442" t="str">
        <f t="shared" si="0"/>
        <v/>
      </c>
      <c r="O11" s="749"/>
      <c r="P11" s="750"/>
      <c r="Q11" s="748"/>
      <c r="R11" s="748"/>
    </row>
    <row r="12" spans="2:18" ht="15" customHeight="1" x14ac:dyDescent="0.25">
      <c r="B12" s="813" t="s">
        <v>50</v>
      </c>
      <c r="C12" s="225"/>
      <c r="D12" s="205"/>
      <c r="E12" s="205"/>
      <c r="F12" s="205"/>
      <c r="G12" s="205"/>
      <c r="H12" s="205"/>
      <c r="I12" s="205"/>
      <c r="J12" s="205"/>
      <c r="K12" s="205"/>
      <c r="L12" s="226"/>
      <c r="M12" s="321" t="str">
        <f>IF(MultMdl!R12=0,"",SUM(C12:L12))</f>
        <v/>
      </c>
      <c r="N12" s="442" t="str">
        <f t="shared" si="0"/>
        <v/>
      </c>
      <c r="O12" s="749"/>
      <c r="P12" s="750"/>
      <c r="Q12" s="748"/>
      <c r="R12" s="748"/>
    </row>
    <row r="13" spans="2:18" ht="15" customHeight="1" x14ac:dyDescent="0.25">
      <c r="B13" s="813" t="s">
        <v>51</v>
      </c>
      <c r="C13" s="225"/>
      <c r="D13" s="205"/>
      <c r="E13" s="205"/>
      <c r="F13" s="205"/>
      <c r="G13" s="205"/>
      <c r="H13" s="205"/>
      <c r="I13" s="205"/>
      <c r="J13" s="205"/>
      <c r="K13" s="205"/>
      <c r="L13" s="226"/>
      <c r="M13" s="321" t="str">
        <f>IF(MultMdl!R13=0,"",SUM(C13:L13))</f>
        <v/>
      </c>
      <c r="N13" s="442" t="str">
        <f t="shared" si="0"/>
        <v/>
      </c>
      <c r="O13" s="750"/>
      <c r="P13" s="750"/>
      <c r="Q13" s="748"/>
      <c r="R13" s="748"/>
    </row>
    <row r="14" spans="2:18" ht="15" customHeight="1" x14ac:dyDescent="0.25">
      <c r="B14" s="813" t="s">
        <v>52</v>
      </c>
      <c r="C14" s="225"/>
      <c r="D14" s="205"/>
      <c r="E14" s="205"/>
      <c r="F14" s="205"/>
      <c r="G14" s="205"/>
      <c r="H14" s="205"/>
      <c r="I14" s="205"/>
      <c r="J14" s="205"/>
      <c r="K14" s="205"/>
      <c r="L14" s="226"/>
      <c r="M14" s="321" t="str">
        <f>IF(MultMdl!R14=0,"",SUM(C14:L14))</f>
        <v/>
      </c>
      <c r="N14" s="442" t="str">
        <f t="shared" si="0"/>
        <v/>
      </c>
      <c r="O14" s="750"/>
      <c r="P14" s="750"/>
      <c r="Q14" s="748"/>
      <c r="R14" s="748"/>
    </row>
    <row r="15" spans="2:18" ht="16.5" customHeight="1" thickBot="1" x14ac:dyDescent="0.3">
      <c r="B15" s="813" t="s">
        <v>53</v>
      </c>
      <c r="C15" s="227"/>
      <c r="D15" s="228"/>
      <c r="E15" s="228"/>
      <c r="F15" s="228"/>
      <c r="G15" s="228"/>
      <c r="H15" s="228"/>
      <c r="I15" s="228"/>
      <c r="J15" s="228"/>
      <c r="K15" s="228"/>
      <c r="L15" s="229"/>
      <c r="M15" s="322" t="str">
        <f>IF(MultMdl!R15=0,"",SUM(C15:L15))</f>
        <v/>
      </c>
      <c r="N15" s="442" t="str">
        <f t="shared" si="0"/>
        <v/>
      </c>
      <c r="O15" s="361"/>
      <c r="P15" s="361"/>
      <c r="Q15" s="361"/>
      <c r="R15" s="362"/>
    </row>
    <row r="16" spans="2:18" ht="15.75" hidden="1" x14ac:dyDescent="0.25">
      <c r="B16" s="812"/>
      <c r="C16" s="679"/>
      <c r="D16" s="679"/>
      <c r="E16" s="679"/>
      <c r="F16" s="679"/>
      <c r="G16" s="679"/>
      <c r="H16" s="679"/>
      <c r="I16" s="679"/>
      <c r="J16" s="679"/>
      <c r="K16" s="679"/>
      <c r="L16" s="679"/>
      <c r="M16" s="814"/>
      <c r="N16" s="361"/>
      <c r="Q16" s="355"/>
      <c r="R16" s="362"/>
    </row>
    <row r="17" spans="2:26" ht="16.5" hidden="1" thickBot="1" x14ac:dyDescent="0.3">
      <c r="B17" s="812"/>
      <c r="C17" s="679"/>
      <c r="D17" s="679"/>
      <c r="E17" s="679"/>
      <c r="F17" s="679"/>
      <c r="G17" s="679"/>
      <c r="H17" s="679"/>
      <c r="I17" s="679"/>
      <c r="J17" s="679"/>
      <c r="K17" s="679"/>
      <c r="L17" s="679"/>
      <c r="M17" s="814"/>
      <c r="N17" s="361"/>
    </row>
    <row r="18" spans="2:26" ht="19.5" hidden="1" thickBot="1" x14ac:dyDescent="0.3">
      <c r="B18" s="812"/>
      <c r="C18" s="912" t="s">
        <v>180</v>
      </c>
      <c r="D18" s="913"/>
      <c r="E18" s="913"/>
      <c r="F18" s="913"/>
      <c r="G18" s="913"/>
      <c r="H18" s="914"/>
      <c r="I18" s="679"/>
      <c r="J18" s="679"/>
      <c r="K18" s="679"/>
      <c r="L18" s="679"/>
      <c r="M18" s="814"/>
      <c r="N18" s="361"/>
      <c r="Q18" s="355"/>
    </row>
    <row r="19" spans="2:26" ht="20.25" hidden="1" customHeight="1" thickBot="1" x14ac:dyDescent="0.3">
      <c r="B19" s="302" t="s">
        <v>176</v>
      </c>
      <c r="C19" s="302" t="s">
        <v>15</v>
      </c>
      <c r="D19" s="302" t="s">
        <v>21</v>
      </c>
      <c r="E19" s="815"/>
      <c r="F19" s="816"/>
      <c r="G19" s="932" t="str">
        <f>IF(($C$57*$D$57)&lt;&gt;1,"",MultMdl!G19)</f>
        <v>Result: Exact Solution</v>
      </c>
      <c r="H19" s="933"/>
      <c r="I19" s="334"/>
      <c r="J19" s="679"/>
      <c r="K19" s="679"/>
      <c r="L19" s="679"/>
      <c r="M19" s="814"/>
      <c r="N19" s="361"/>
      <c r="Q19" s="359"/>
      <c r="R19" s="359"/>
      <c r="S19" s="359"/>
      <c r="T19" s="359"/>
      <c r="U19" s="359"/>
      <c r="V19" s="359"/>
      <c r="W19" s="359"/>
      <c r="X19" s="360"/>
      <c r="Z19" s="362"/>
    </row>
    <row r="20" spans="2:26" ht="15" hidden="1" customHeight="1" thickBot="1" x14ac:dyDescent="0.3">
      <c r="B20" s="302">
        <v>0</v>
      </c>
      <c r="C20" s="203">
        <v>1</v>
      </c>
      <c r="D20" s="203">
        <v>1</v>
      </c>
      <c r="E20" s="298" t="s">
        <v>170</v>
      </c>
      <c r="F20" s="298" t="s">
        <v>74</v>
      </c>
      <c r="G20" s="817" t="s">
        <v>68</v>
      </c>
      <c r="H20" s="818" t="s">
        <v>179</v>
      </c>
      <c r="I20" s="720" t="str">
        <f>IF(COUNTBLANK(I21:I29)=9,"","Warning:")</f>
        <v/>
      </c>
      <c r="J20" s="679"/>
      <c r="K20" s="679"/>
      <c r="L20" s="679"/>
      <c r="M20" s="814"/>
      <c r="N20" s="361"/>
      <c r="Q20" s="435"/>
      <c r="R20" s="359"/>
      <c r="S20" s="359"/>
      <c r="T20" s="359"/>
      <c r="U20" s="436"/>
      <c r="V20" s="359"/>
      <c r="W20" s="359"/>
      <c r="X20" s="360"/>
      <c r="Z20" s="362"/>
    </row>
    <row r="21" spans="2:26" ht="15" hidden="1" customHeight="1" x14ac:dyDescent="0.25">
      <c r="B21" s="309">
        <v>1</v>
      </c>
      <c r="C21" s="220">
        <v>1.26</v>
      </c>
      <c r="D21" s="220">
        <v>1.2188522727272726</v>
      </c>
      <c r="E21" s="819">
        <f>IF(($C$57*$D$57)&lt;&gt;1,"",IF(MultMdl!E21="","",MultMdl!E21))</f>
        <v>-4.1733532850394231E-2</v>
      </c>
      <c r="F21" s="819">
        <f>IF(($C$57*$D$57)&lt;&gt;1,"",IF(MultMdl!F21="","",MultMdl!F21))</f>
        <v>-4.1733532850390193E-2</v>
      </c>
      <c r="G21" s="577">
        <f>IF(($C$57*$D$57)&lt;&gt;1,"",IF(MultMdl!G21="","",MultMdl!G21))</f>
        <v>0.8400000000011687</v>
      </c>
      <c r="H21" s="820">
        <v>1</v>
      </c>
      <c r="I21" s="677" t="str">
        <f t="shared" ref="I21:I29" si="1">IF(G21&gt;=0,"","** Invalid value **")</f>
        <v/>
      </c>
      <c r="J21" s="679"/>
      <c r="K21" s="679"/>
      <c r="L21" s="679"/>
      <c r="M21" s="814"/>
      <c r="N21" s="361"/>
      <c r="Q21" s="435"/>
      <c r="R21" s="359"/>
      <c r="S21" s="359"/>
      <c r="T21" s="359"/>
      <c r="U21" s="436"/>
      <c r="V21" s="359"/>
      <c r="W21" s="359"/>
      <c r="X21" s="360"/>
      <c r="Z21" s="362"/>
    </row>
    <row r="22" spans="2:26" ht="15" hidden="1" customHeight="1" x14ac:dyDescent="0.25">
      <c r="B22" s="307">
        <v>2</v>
      </c>
      <c r="C22" s="220">
        <v>1.59</v>
      </c>
      <c r="D22" s="220">
        <v>1.4715834843385969</v>
      </c>
      <c r="E22" s="821">
        <f>IF(($C$57*$D$57)&lt;&gt;1,"",IF(MultMdl!E22="","",MultMdl!E22))</f>
        <v>-8.7446871591189315E-2</v>
      </c>
      <c r="F22" s="821">
        <f>IF(($C$57*$D$57)&lt;&gt;1,"",IF(MultMdl!F22="","",MultMdl!F22))</f>
        <v>-8.744687159119513E-2</v>
      </c>
      <c r="G22" s="578">
        <f>IF(($C$57*$D$57)&lt;&gt;1,"",IF(MultMdl!G22="","",MultMdl!G22))</f>
        <v>0.65999999999981895</v>
      </c>
      <c r="H22" s="822">
        <v>2</v>
      </c>
      <c r="I22" s="677" t="str">
        <f>IF(G22&gt;=0,"","** Invalid value **")</f>
        <v/>
      </c>
      <c r="J22" s="679"/>
      <c r="K22" s="679"/>
      <c r="L22" s="679"/>
      <c r="M22" s="814"/>
      <c r="N22" s="361"/>
      <c r="Q22" s="435"/>
      <c r="R22" s="359"/>
      <c r="S22" s="359"/>
      <c r="T22" s="359"/>
      <c r="U22" s="436"/>
      <c r="V22" s="359"/>
      <c r="W22" s="359"/>
      <c r="X22" s="360"/>
      <c r="Z22" s="362"/>
    </row>
    <row r="23" spans="2:26" ht="15" hidden="1" customHeight="1" x14ac:dyDescent="0.25">
      <c r="B23" s="307">
        <v>3</v>
      </c>
      <c r="C23" s="220">
        <v>1.67</v>
      </c>
      <c r="D23" s="220">
        <v>1.5759781977511484</v>
      </c>
      <c r="E23" s="821">
        <f>IF(($C$57*$D$57)&lt;&gt;1,"",IF(MultMdl!E23="","",MultMdl!E23))</f>
        <v>-7.4693144631219524E-2</v>
      </c>
      <c r="F23" s="821">
        <f>IF(($C$57*$D$57)&lt;&gt;1,"",IF(MultMdl!F23="","",MultMdl!F23))</f>
        <v>-7.4693144631219788E-2</v>
      </c>
      <c r="G23" s="578">
        <f>IF(($C$57*$D$57)&lt;&gt;1,"",IF(MultMdl!G23="","",MultMdl!G23))</f>
        <v>0.50000000000048317</v>
      </c>
      <c r="H23" s="822">
        <v>3</v>
      </c>
      <c r="I23" s="677" t="str">
        <f t="shared" si="1"/>
        <v/>
      </c>
      <c r="J23" s="679"/>
      <c r="K23" s="679"/>
      <c r="L23" s="679"/>
      <c r="M23" s="814"/>
      <c r="N23" s="361"/>
      <c r="Q23" s="435"/>
      <c r="R23" s="359"/>
      <c r="S23" s="359"/>
      <c r="T23" s="359"/>
      <c r="U23" s="436"/>
      <c r="V23" s="359"/>
      <c r="W23" s="359"/>
      <c r="X23" s="360"/>
      <c r="Z23" s="362"/>
    </row>
    <row r="24" spans="2:26" ht="15" hidden="1" customHeight="1" x14ac:dyDescent="0.25">
      <c r="B24" s="307">
        <v>4</v>
      </c>
      <c r="C24" s="220">
        <v>1.98</v>
      </c>
      <c r="D24" s="220">
        <v>1.8480861506330766</v>
      </c>
      <c r="E24" s="821">
        <f>IF(($C$57*$D$57)&lt;&gt;1,"",IF(MultMdl!E24="","",MultMdl!E24))</f>
        <v>-8.6864934411104891E-2</v>
      </c>
      <c r="F24" s="821">
        <f>IF(($C$57*$D$57)&lt;&gt;1,"",IF(MultMdl!F24="","",MultMdl!F24))</f>
        <v>-8.6864934411098355E-2</v>
      </c>
      <c r="G24" s="578">
        <f>IF(($C$57*$D$57)&lt;&gt;1,"",IF(MultMdl!G24="","",MultMdl!G24))</f>
        <v>0.39999999999982094</v>
      </c>
      <c r="H24" s="822">
        <v>4</v>
      </c>
      <c r="I24" s="677" t="str">
        <f t="shared" si="1"/>
        <v/>
      </c>
      <c r="J24" s="679"/>
      <c r="K24" s="679"/>
      <c r="L24" s="679"/>
      <c r="M24" s="814"/>
      <c r="N24" s="361"/>
      <c r="Q24" s="435"/>
      <c r="R24" s="359"/>
      <c r="S24" s="359"/>
      <c r="T24" s="359"/>
      <c r="U24" s="436"/>
      <c r="V24" s="359"/>
      <c r="W24" s="359"/>
      <c r="X24" s="360"/>
      <c r="Z24" s="362"/>
    </row>
    <row r="25" spans="2:26" ht="15" hidden="1" customHeight="1" x14ac:dyDescent="0.25">
      <c r="B25" s="307">
        <v>5</v>
      </c>
      <c r="C25" s="220">
        <v>2.1800000000000002</v>
      </c>
      <c r="D25" s="220">
        <v>2.0719764999867087</v>
      </c>
      <c r="E25" s="821">
        <f>IF(($C$57*$D$57)&lt;&gt;1,"",IF(MultMdl!E25="","",MultMdl!E25))</f>
        <v>-7.3866864319073064E-2</v>
      </c>
      <c r="F25" s="821">
        <f>IF(($C$57*$D$57)&lt;&gt;1,"",IF(MultMdl!F25="","",MultMdl!F25))</f>
        <v>-7.3866864319078129E-2</v>
      </c>
      <c r="G25" s="578">
        <f>IF(($C$57*$D$57)&lt;&gt;1,"",IF(MultMdl!G25="","",MultMdl!G25))</f>
        <v>0.30000000000012861</v>
      </c>
      <c r="H25" s="822">
        <v>5</v>
      </c>
      <c r="I25" s="677" t="str">
        <f t="shared" si="1"/>
        <v/>
      </c>
      <c r="J25" s="679"/>
      <c r="K25" s="679"/>
      <c r="L25" s="679"/>
      <c r="M25" s="814"/>
      <c r="N25" s="361"/>
      <c r="Q25" s="435"/>
      <c r="R25" s="359"/>
      <c r="S25" s="359"/>
      <c r="T25" s="359"/>
      <c r="U25" s="436"/>
      <c r="V25" s="359"/>
      <c r="W25" s="359"/>
      <c r="X25" s="360"/>
      <c r="Z25" s="362"/>
    </row>
    <row r="26" spans="2:26" ht="15" hidden="1" customHeight="1" x14ac:dyDescent="0.25">
      <c r="B26" s="307">
        <v>6</v>
      </c>
      <c r="C26" s="220"/>
      <c r="D26" s="220"/>
      <c r="E26" s="821" t="str">
        <f>IF(($C$57*$D$57)&lt;&gt;1,"",IF(MultMdl!E26="","",MultMdl!E26))</f>
        <v/>
      </c>
      <c r="F26" s="821" t="str">
        <f>IF(($C$57*$D$57)&lt;&gt;1,"",IF(MultMdl!F26="","",MultMdl!F26))</f>
        <v/>
      </c>
      <c r="G26" s="578" t="str">
        <f>IF(($C$57*$D$57)&lt;&gt;1,"",IF(MultMdl!G26="","",MultMdl!G26))</f>
        <v/>
      </c>
      <c r="H26" s="822">
        <v>6</v>
      </c>
      <c r="I26" s="677" t="str">
        <f t="shared" si="1"/>
        <v/>
      </c>
      <c r="J26" s="679"/>
      <c r="K26" s="679"/>
      <c r="L26" s="679"/>
      <c r="M26" s="814"/>
      <c r="N26" s="361"/>
      <c r="Q26" s="435"/>
      <c r="R26" s="359"/>
      <c r="S26" s="359"/>
      <c r="T26" s="359"/>
      <c r="U26" s="436"/>
      <c r="V26" s="359"/>
      <c r="W26" s="359"/>
      <c r="X26" s="360"/>
      <c r="Z26" s="362"/>
    </row>
    <row r="27" spans="2:26" ht="15" hidden="1" customHeight="1" x14ac:dyDescent="0.25">
      <c r="B27" s="307">
        <v>7</v>
      </c>
      <c r="C27" s="220"/>
      <c r="D27" s="220" t="s">
        <v>232</v>
      </c>
      <c r="E27" s="821" t="str">
        <f>IF(($C$57*$D$57)&lt;&gt;1,"",IF(MultMdl!E27="","",MultMdl!E27))</f>
        <v/>
      </c>
      <c r="F27" s="821" t="str">
        <f>IF(($C$57*$D$57)&lt;&gt;1,"",IF(MultMdl!F27="","",MultMdl!F27))</f>
        <v/>
      </c>
      <c r="G27" s="578" t="str">
        <f>IF(($C$57*$D$57)&lt;&gt;1,"",IF(MultMdl!G27="","",MultMdl!G27))</f>
        <v/>
      </c>
      <c r="H27" s="822">
        <v>7</v>
      </c>
      <c r="I27" s="677" t="str">
        <f t="shared" si="1"/>
        <v/>
      </c>
      <c r="J27" s="679"/>
      <c r="K27" s="679"/>
      <c r="L27" s="679"/>
      <c r="M27" s="814"/>
      <c r="N27" s="361"/>
      <c r="Q27" s="435"/>
      <c r="R27" s="359"/>
      <c r="S27" s="359"/>
      <c r="T27" s="359"/>
      <c r="U27" s="359"/>
      <c r="V27" s="359"/>
      <c r="W27" s="359"/>
      <c r="X27" s="360"/>
      <c r="Z27" s="362"/>
    </row>
    <row r="28" spans="2:26" ht="15" hidden="1" customHeight="1" x14ac:dyDescent="0.25">
      <c r="B28" s="307">
        <v>8</v>
      </c>
      <c r="C28" s="220"/>
      <c r="D28" s="220"/>
      <c r="E28" s="821" t="str">
        <f>IF(($C$57*$D$57)&lt;&gt;1,"",IF(MultMdl!E28="","",MultMdl!E28))</f>
        <v/>
      </c>
      <c r="F28" s="821" t="str">
        <f>IF(($C$57*$D$57)&lt;&gt;1,"",IF(MultMdl!F28="","",MultMdl!F28))</f>
        <v/>
      </c>
      <c r="G28" s="578" t="str">
        <f>IF(($C$57*$D$57)&lt;&gt;1,"",IF(MultMdl!G28="","",MultMdl!G28))</f>
        <v/>
      </c>
      <c r="H28" s="822">
        <v>8</v>
      </c>
      <c r="I28" s="677" t="str">
        <f t="shared" si="1"/>
        <v/>
      </c>
      <c r="J28" s="679"/>
      <c r="K28" s="679"/>
      <c r="L28" s="679"/>
      <c r="M28" s="814"/>
      <c r="N28" s="361"/>
      <c r="Q28" s="435"/>
      <c r="R28" s="359"/>
      <c r="S28" s="359"/>
      <c r="T28" s="359"/>
      <c r="U28" s="359"/>
      <c r="V28" s="359"/>
      <c r="W28" s="359"/>
      <c r="X28" s="360"/>
      <c r="Z28" s="362"/>
    </row>
    <row r="29" spans="2:26" ht="15" hidden="1" customHeight="1" thickBot="1" x14ac:dyDescent="0.3">
      <c r="B29" s="308">
        <v>9</v>
      </c>
      <c r="C29" s="221"/>
      <c r="D29" s="221"/>
      <c r="E29" s="823" t="str">
        <f>IF(($C$57*$D$57)&lt;&gt;1,"", IF(MultMdl!E29="","",MultMdl!E29))</f>
        <v/>
      </c>
      <c r="F29" s="823" t="str">
        <f>IF(($C$57*$D$57)&lt;&gt;1,"",IF(MultMdl!F29="","",MultMdl!F29))</f>
        <v/>
      </c>
      <c r="G29" s="579" t="str">
        <f>IF(($C$57*$D$57)&lt;&gt;1,"",IF(MultMdl!G29="","",MultMdl!G29))</f>
        <v/>
      </c>
      <c r="H29" s="824">
        <v>9</v>
      </c>
      <c r="I29" s="677" t="str">
        <f t="shared" si="1"/>
        <v/>
      </c>
      <c r="J29" s="679"/>
      <c r="K29" s="679"/>
      <c r="L29" s="679"/>
      <c r="M29" s="814"/>
      <c r="N29" s="361"/>
      <c r="Q29" s="435"/>
      <c r="R29" s="359"/>
      <c r="S29" s="359"/>
      <c r="T29" s="359"/>
      <c r="U29" s="359"/>
      <c r="V29" s="359"/>
      <c r="W29" s="359"/>
      <c r="X29" s="360"/>
      <c r="Z29" s="362"/>
    </row>
    <row r="30" spans="2:26" ht="15.75" hidden="1" x14ac:dyDescent="0.25">
      <c r="B30" s="810"/>
      <c r="C30" s="677" t="str">
        <f>IF(D57=0,"**Error: Mismatch in P(C|X) and number RR_Obs or RR_X**","")</f>
        <v/>
      </c>
      <c r="D30" s="591"/>
      <c r="E30" s="825"/>
      <c r="F30" s="825"/>
      <c r="G30" s="826"/>
      <c r="H30" s="679"/>
      <c r="I30" s="679"/>
      <c r="J30" s="679"/>
      <c r="K30" s="679"/>
      <c r="L30" s="679"/>
      <c r="M30" s="814"/>
      <c r="N30" s="361"/>
      <c r="Q30" s="359"/>
      <c r="R30" s="359"/>
      <c r="S30" s="359"/>
      <c r="T30" s="359"/>
      <c r="U30" s="359"/>
      <c r="V30" s="359"/>
      <c r="W30" s="359"/>
      <c r="X30" s="360"/>
      <c r="Z30" s="362"/>
    </row>
    <row r="31" spans="2:26" ht="15.75" x14ac:dyDescent="0.25">
      <c r="B31" s="810"/>
      <c r="C31" s="677"/>
      <c r="D31" s="591"/>
      <c r="E31" s="825"/>
      <c r="F31" s="825"/>
      <c r="G31" s="826"/>
      <c r="H31" s="679"/>
      <c r="I31" s="679"/>
      <c r="J31" s="679"/>
      <c r="K31" s="679"/>
      <c r="L31" s="679"/>
      <c r="M31" s="814"/>
      <c r="N31" s="361"/>
      <c r="Q31" s="359"/>
      <c r="R31" s="359"/>
      <c r="S31" s="359"/>
      <c r="T31" s="359"/>
      <c r="U31" s="359"/>
      <c r="V31" s="359"/>
      <c r="W31" s="359"/>
      <c r="X31" s="360"/>
      <c r="Z31" s="362"/>
    </row>
    <row r="32" spans="2:26" ht="15.75" hidden="1" thickBot="1" x14ac:dyDescent="0.3">
      <c r="B32" s="810"/>
      <c r="C32" s="679"/>
      <c r="D32" s="679"/>
      <c r="E32" s="254"/>
      <c r="F32" s="679"/>
      <c r="G32" s="679"/>
      <c r="H32" s="679"/>
      <c r="I32" s="679"/>
      <c r="J32" s="679"/>
      <c r="K32" s="679"/>
      <c r="L32" s="679"/>
      <c r="M32" s="809"/>
      <c r="N32" s="359"/>
      <c r="O32" s="359"/>
      <c r="P32" s="359"/>
      <c r="Q32" s="360"/>
      <c r="S32" s="362"/>
    </row>
    <row r="33" spans="2:19" ht="19.5" hidden="1" thickBot="1" x14ac:dyDescent="0.3">
      <c r="B33" s="810"/>
      <c r="C33" s="912" t="s">
        <v>181</v>
      </c>
      <c r="D33" s="913"/>
      <c r="E33" s="913"/>
      <c r="F33" s="913"/>
      <c r="G33" s="913"/>
      <c r="H33" s="914"/>
      <c r="I33" s="254"/>
      <c r="J33" s="679"/>
      <c r="K33" s="679"/>
      <c r="L33" s="679"/>
      <c r="M33" s="809"/>
      <c r="N33" s="359"/>
      <c r="O33" s="359"/>
      <c r="P33" s="359"/>
      <c r="Q33" s="360"/>
      <c r="S33" s="362"/>
    </row>
    <row r="34" spans="2:19" ht="19.5" hidden="1" thickBot="1" x14ac:dyDescent="0.3">
      <c r="B34" s="302" t="s">
        <v>176</v>
      </c>
      <c r="C34" s="302" t="s">
        <v>16</v>
      </c>
      <c r="D34" s="302" t="s">
        <v>27</v>
      </c>
      <c r="E34" s="815"/>
      <c r="F34" s="816"/>
      <c r="G34" s="932" t="str">
        <f>IF(($C$58*$D$58)&lt;&gt;1,"",AddMdl!B16)</f>
        <v>Result: Exact Solution</v>
      </c>
      <c r="H34" s="933"/>
      <c r="I34" s="679"/>
      <c r="J34" s="679"/>
      <c r="K34" s="679"/>
      <c r="L34" s="679"/>
      <c r="M34" s="809"/>
      <c r="N34" s="359"/>
      <c r="O34" s="359"/>
      <c r="P34" s="359"/>
      <c r="Q34" s="360"/>
      <c r="S34" s="362"/>
    </row>
    <row r="35" spans="2:19" ht="16.5" hidden="1" thickBot="1" x14ac:dyDescent="0.3">
      <c r="B35" s="302">
        <v>0</v>
      </c>
      <c r="C35" s="203">
        <v>0</v>
      </c>
      <c r="D35" s="203">
        <v>0</v>
      </c>
      <c r="E35" s="298" t="s">
        <v>171</v>
      </c>
      <c r="F35" s="827" t="s">
        <v>17</v>
      </c>
      <c r="G35" s="817" t="s">
        <v>69</v>
      </c>
      <c r="H35" s="818" t="s">
        <v>179</v>
      </c>
      <c r="I35" s="670" t="str">
        <f>IF(COUNTBLANK(I36:I44)=9,"","Warning:")</f>
        <v/>
      </c>
      <c r="J35" s="828"/>
      <c r="K35" s="679"/>
      <c r="L35" s="679"/>
      <c r="M35" s="809"/>
      <c r="N35" s="359"/>
      <c r="O35" s="359"/>
      <c r="P35" s="359"/>
      <c r="Q35" s="360"/>
      <c r="S35" s="362"/>
    </row>
    <row r="36" spans="2:19" ht="15.75" hidden="1" x14ac:dyDescent="0.25">
      <c r="B36" s="309">
        <v>1</v>
      </c>
      <c r="C36" s="220">
        <v>0.26</v>
      </c>
      <c r="D36" s="220">
        <v>0.16177559999999999</v>
      </c>
      <c r="E36" s="819">
        <f>IF(($C$58*$D$58)&lt;&gt;1,"",IF(C36="","",AddMdl!B18))</f>
        <v>-9.8224400000000073E-2</v>
      </c>
      <c r="F36" s="819">
        <f>IF(($C$58*$D$58)&lt;&gt;1,"",IF(C36="","",AddMdl!C18))</f>
        <v>-9.8224400000000017E-2</v>
      </c>
      <c r="G36" s="577">
        <f>IF(($C$58*$D$58)&lt;&gt;1,"",IF(AddMdl!B31=1,AddMdl!D18,""))</f>
        <v>-0.15999999999999925</v>
      </c>
      <c r="H36" s="820">
        <v>1</v>
      </c>
      <c r="I36" s="686" t="str">
        <f t="shared" ref="I36:I44" si="2">IF(G36&gt;=-1,"","** Invalid value **")</f>
        <v/>
      </c>
      <c r="J36" s="828"/>
      <c r="K36" s="679"/>
      <c r="L36" s="679"/>
      <c r="M36" s="809"/>
      <c r="N36" s="359"/>
      <c r="O36" s="359"/>
      <c r="P36" s="359"/>
      <c r="Q36" s="360"/>
      <c r="S36" s="362"/>
    </row>
    <row r="37" spans="2:19" ht="15.75" hidden="1" x14ac:dyDescent="0.25">
      <c r="B37" s="307">
        <v>2</v>
      </c>
      <c r="C37" s="220">
        <v>0.59000000000000008</v>
      </c>
      <c r="D37" s="220">
        <v>0.36434540000000004</v>
      </c>
      <c r="E37" s="821">
        <f>IF(($C$58*$D$58)&lt;&gt;1,"",IF(C37="","",AddMdl!B19))</f>
        <v>-0.22565460000000021</v>
      </c>
      <c r="F37" s="821">
        <f>IF(($C$58*$D$58)&lt;&gt;1,"",IF(C37="","",AddMdl!C19))</f>
        <v>-0.22565460000000004</v>
      </c>
      <c r="G37" s="578">
        <f>IF(($C$58*$D$58)&lt;&gt;1,"",IF(AddMdl!C31=1,AddMdl!D19,""))</f>
        <v>-0.33999999999999808</v>
      </c>
      <c r="H37" s="822">
        <v>2</v>
      </c>
      <c r="I37" s="686" t="str">
        <f t="shared" si="2"/>
        <v/>
      </c>
      <c r="J37" s="828"/>
      <c r="K37" s="679"/>
      <c r="L37" s="679"/>
      <c r="M37" s="809"/>
      <c r="N37" s="359"/>
      <c r="O37" s="359"/>
      <c r="P37" s="359"/>
      <c r="Q37" s="360"/>
      <c r="S37" s="362"/>
    </row>
    <row r="38" spans="2:19" ht="15.75" hidden="1" x14ac:dyDescent="0.25">
      <c r="B38" s="307">
        <v>3</v>
      </c>
      <c r="C38" s="220">
        <v>0.66999999999999993</v>
      </c>
      <c r="D38" s="220">
        <v>0.43643019999999999</v>
      </c>
      <c r="E38" s="821">
        <f>IF(($C$58*$D$58)&lt;&gt;1,"",IF(C38="","",AddMdl!B20))</f>
        <v>-0.23356980000000008</v>
      </c>
      <c r="F38" s="821">
        <f>IF(($C$58*$D$58)&lt;&gt;1,"",IF(C38="","",AddMdl!C20))</f>
        <v>-0.23356979999999994</v>
      </c>
      <c r="G38" s="578">
        <f>IF(($C$58*$D$58)&lt;&gt;1,"",IF(AddMdl!D31=1,AddMdl!D20,""))</f>
        <v>-0.50000000000000622</v>
      </c>
      <c r="H38" s="822">
        <v>3</v>
      </c>
      <c r="I38" s="686" t="str">
        <f t="shared" si="2"/>
        <v/>
      </c>
      <c r="J38" s="828"/>
      <c r="K38" s="679"/>
      <c r="L38" s="679"/>
      <c r="M38" s="809"/>
      <c r="N38" s="359"/>
      <c r="O38" s="359"/>
      <c r="P38" s="359"/>
      <c r="Q38" s="360"/>
      <c r="S38" s="362"/>
    </row>
    <row r="39" spans="2:19" ht="15.75" hidden="1" x14ac:dyDescent="0.25">
      <c r="B39" s="307">
        <v>4</v>
      </c>
      <c r="C39" s="220">
        <v>0.98</v>
      </c>
      <c r="D39" s="220">
        <v>0.64971879999999993</v>
      </c>
      <c r="E39" s="821">
        <f>IF(($C$58*$D$58)&lt;&gt;1,"",IF(C39="","",AddMdl!B21))</f>
        <v>-0.33028120000000022</v>
      </c>
      <c r="F39" s="821">
        <f>IF(($C$58*$D$58)&lt;&gt;1,"",IF(C39="","",AddMdl!C21))</f>
        <v>-0.33028120000000005</v>
      </c>
      <c r="G39" s="578">
        <f>IF(($C$58*$D$58)&lt;&gt;1,"",IF(AddMdl!E31=1,AddMdl!D21,""))</f>
        <v>-0.60000000000000075</v>
      </c>
      <c r="H39" s="822">
        <v>4</v>
      </c>
      <c r="I39" s="686" t="str">
        <f t="shared" si="2"/>
        <v/>
      </c>
      <c r="J39" s="828"/>
      <c r="K39" s="679"/>
      <c r="L39" s="679"/>
      <c r="M39" s="809"/>
      <c r="N39" s="359"/>
      <c r="O39" s="359"/>
      <c r="P39" s="359"/>
      <c r="Q39" s="360"/>
      <c r="S39" s="362"/>
    </row>
    <row r="40" spans="2:19" ht="15.75" hidden="1" x14ac:dyDescent="0.25">
      <c r="B40" s="307">
        <v>5</v>
      </c>
      <c r="C40" s="220">
        <v>1.1800000000000002</v>
      </c>
      <c r="D40" s="220">
        <v>0.80649080000000017</v>
      </c>
      <c r="E40" s="821">
        <f>IF(($C$58*$D$58)&lt;&gt;1,"",IF(C40="","",AddMdl!B22))</f>
        <v>-0.37350920000000021</v>
      </c>
      <c r="F40" s="821">
        <f>IF(($C$58*$D$58)&lt;&gt;1,"",IF(C40="","",AddMdl!C22))</f>
        <v>-0.37350919999999999</v>
      </c>
      <c r="G40" s="578">
        <f>IF(($C$58*$D$58)&lt;&gt;1,"",IF(AddMdl!F31=1,AddMdl!D22,""))</f>
        <v>-0.69999999999999929</v>
      </c>
      <c r="H40" s="822">
        <v>5</v>
      </c>
      <c r="I40" s="686" t="str">
        <f t="shared" si="2"/>
        <v/>
      </c>
      <c r="J40" s="828"/>
      <c r="K40" s="679"/>
      <c r="L40" s="679"/>
      <c r="M40" s="809"/>
      <c r="N40" s="359"/>
      <c r="O40" s="359"/>
      <c r="P40" s="359"/>
      <c r="Q40" s="360"/>
      <c r="S40" s="362"/>
    </row>
    <row r="41" spans="2:19" ht="15.75" hidden="1" x14ac:dyDescent="0.25">
      <c r="B41" s="307">
        <v>6</v>
      </c>
      <c r="C41" s="220"/>
      <c r="D41" s="220"/>
      <c r="E41" s="821" t="str">
        <f>IF(($C$58*$D$58)&lt;&gt;1,"",IF(C41="","",AddMdl!B23))</f>
        <v/>
      </c>
      <c r="F41" s="821" t="str">
        <f>IF(($C$58*$D$58)&lt;&gt;1,"",IF(C41="","",AddMdl!C23))</f>
        <v/>
      </c>
      <c r="G41" s="578" t="str">
        <f>IF(($C$58*$D$58)&lt;&gt;1,"",IF(AddMdl!G31=1,AddMdl!D23,""))</f>
        <v/>
      </c>
      <c r="H41" s="822">
        <v>6</v>
      </c>
      <c r="I41" s="686" t="str">
        <f t="shared" si="2"/>
        <v/>
      </c>
      <c r="J41" s="828"/>
      <c r="K41" s="679"/>
      <c r="L41" s="679"/>
      <c r="M41" s="809"/>
      <c r="N41" s="359"/>
      <c r="O41" s="359"/>
      <c r="P41" s="359"/>
      <c r="Q41" s="360"/>
      <c r="S41" s="362"/>
    </row>
    <row r="42" spans="2:19" ht="15.75" hidden="1" x14ac:dyDescent="0.25">
      <c r="B42" s="307">
        <v>7</v>
      </c>
      <c r="C42" s="220"/>
      <c r="D42" s="220" t="s">
        <v>232</v>
      </c>
      <c r="E42" s="821" t="str">
        <f>IF(($C$58*$D$58)&lt;&gt;1,"",IF(C42="","",AddMdl!B24))</f>
        <v/>
      </c>
      <c r="F42" s="821" t="str">
        <f>IF(($C$58*$D$58)&lt;&gt;1,"",IF(C42="","",AddMdl!C24))</f>
        <v/>
      </c>
      <c r="G42" s="578" t="str">
        <f>IF(($C$58*$D$58)&lt;&gt;1,"",IF(AddMdl!H31=1,AddMdl!D24,""))</f>
        <v/>
      </c>
      <c r="H42" s="822">
        <v>7</v>
      </c>
      <c r="I42" s="686" t="str">
        <f t="shared" si="2"/>
        <v/>
      </c>
      <c r="J42" s="828"/>
      <c r="K42" s="679"/>
      <c r="L42" s="679"/>
      <c r="M42" s="809"/>
      <c r="N42" s="359"/>
      <c r="O42" s="359"/>
      <c r="P42" s="359"/>
      <c r="Q42" s="360"/>
      <c r="S42" s="362"/>
    </row>
    <row r="43" spans="2:19" ht="15.75" hidden="1" x14ac:dyDescent="0.25">
      <c r="B43" s="307">
        <v>8</v>
      </c>
      <c r="C43" s="220"/>
      <c r="D43" s="220" t="s">
        <v>232</v>
      </c>
      <c r="E43" s="821" t="str">
        <f>IF(($C$58*$D$58)&lt;&gt;1,"",IF(C43="","",AddMdl!B25))</f>
        <v/>
      </c>
      <c r="F43" s="821" t="str">
        <f>IF(($C$58*$D$58)&lt;&gt;1,"",IF(C43="","",AddMdl!C25))</f>
        <v/>
      </c>
      <c r="G43" s="578" t="str">
        <f>IF(($C$58*$D$58)&lt;&gt;1,"",IF(AddMdl!I31=1,AddMdl!D25,""))</f>
        <v/>
      </c>
      <c r="H43" s="822">
        <v>8</v>
      </c>
      <c r="I43" s="686" t="str">
        <f t="shared" si="2"/>
        <v/>
      </c>
      <c r="J43" s="828"/>
      <c r="K43" s="679"/>
      <c r="L43" s="679"/>
      <c r="M43" s="809"/>
      <c r="N43" s="359"/>
      <c r="O43" s="359"/>
      <c r="P43" s="359"/>
      <c r="Q43" s="360"/>
      <c r="S43" s="362"/>
    </row>
    <row r="44" spans="2:19" ht="16.5" hidden="1" thickBot="1" x14ac:dyDescent="0.3">
      <c r="B44" s="308">
        <v>9</v>
      </c>
      <c r="C44" s="221"/>
      <c r="D44" s="221"/>
      <c r="E44" s="823" t="str">
        <f>IF(($C$58*$D$58)&lt;&gt;1,"",IF(C44="","",AddMdl!B26))</f>
        <v/>
      </c>
      <c r="F44" s="823" t="str">
        <f>IF(($C$58*$D$58)&lt;&gt;1,"",IF(C44="","",AddMdl!C26))</f>
        <v/>
      </c>
      <c r="G44" s="579" t="str">
        <f>IF(($C$58*$D$58)&lt;&gt;1,"",IF(AddMdl!J31=1,AddMdl!D26,""))</f>
        <v/>
      </c>
      <c r="H44" s="824">
        <v>9</v>
      </c>
      <c r="I44" s="686" t="str">
        <f t="shared" si="2"/>
        <v/>
      </c>
      <c r="J44" s="828"/>
      <c r="K44" s="679"/>
      <c r="L44" s="679"/>
      <c r="M44" s="809"/>
      <c r="N44" s="359"/>
      <c r="O44" s="359"/>
      <c r="P44" s="359"/>
      <c r="Q44" s="360"/>
      <c r="S44" s="362"/>
    </row>
    <row r="45" spans="2:19" ht="17.25" hidden="1" customHeight="1" x14ac:dyDescent="0.25">
      <c r="B45" s="810"/>
      <c r="C45" s="677" t="str">
        <f>IF(D58=0,"**Error: Mismatch in P(C|X) and number ERR_Obs or ERR_X**","")</f>
        <v/>
      </c>
      <c r="D45" s="679"/>
      <c r="E45" s="679"/>
      <c r="F45" s="679"/>
      <c r="G45" s="677"/>
      <c r="H45" s="679"/>
      <c r="I45" s="679"/>
      <c r="J45" s="679"/>
      <c r="K45" s="679"/>
      <c r="L45" s="679"/>
      <c r="M45" s="809"/>
      <c r="N45" s="359"/>
      <c r="O45" s="359"/>
      <c r="P45" s="359"/>
      <c r="Q45" s="360"/>
      <c r="S45" s="362"/>
    </row>
    <row r="46" spans="2:19" ht="15.75" x14ac:dyDescent="0.25">
      <c r="B46" s="810"/>
      <c r="C46" s="677" t="str">
        <f>IF(C59=0,"","**Error: One or more invalid values for P(C|X)**")</f>
        <v/>
      </c>
      <c r="D46" s="679"/>
      <c r="E46" s="679"/>
      <c r="F46" s="679"/>
      <c r="G46" s="679"/>
      <c r="H46" s="254"/>
      <c r="I46" s="679"/>
      <c r="J46" s="254"/>
      <c r="K46" s="679"/>
      <c r="L46" s="679"/>
      <c r="M46" s="809"/>
      <c r="Q46" s="355"/>
    </row>
    <row r="47" spans="2:19" ht="15.75" x14ac:dyDescent="0.25">
      <c r="B47" s="450"/>
      <c r="C47" s="352"/>
      <c r="D47" s="359"/>
      <c r="E47" s="359"/>
      <c r="F47" s="359"/>
      <c r="G47" s="359"/>
      <c r="H47" s="360"/>
      <c r="I47" s="359"/>
      <c r="J47" s="360"/>
      <c r="K47" s="359"/>
      <c r="L47" s="359"/>
      <c r="M47" s="449"/>
      <c r="Q47" s="355"/>
    </row>
    <row r="48" spans="2:19" x14ac:dyDescent="0.25">
      <c r="B48" s="450"/>
      <c r="C48" s="359"/>
      <c r="D48" s="359"/>
      <c r="E48" s="359"/>
      <c r="F48" s="359"/>
      <c r="G48" s="359"/>
      <c r="H48" s="360"/>
      <c r="I48" s="359"/>
      <c r="J48" s="360"/>
      <c r="K48" s="359"/>
      <c r="L48" s="359"/>
      <c r="M48" s="449"/>
      <c r="Q48" s="355"/>
    </row>
    <row r="49" spans="2:17" x14ac:dyDescent="0.25">
      <c r="B49" s="450"/>
      <c r="C49" s="359"/>
      <c r="D49" s="359"/>
      <c r="E49" s="359"/>
      <c r="F49" s="359"/>
      <c r="G49" s="359"/>
      <c r="H49" s="360"/>
      <c r="I49" s="359"/>
      <c r="J49" s="360"/>
      <c r="K49" s="359"/>
      <c r="L49" s="359"/>
      <c r="M49" s="449"/>
      <c r="Q49" s="355"/>
    </row>
    <row r="50" spans="2:17" x14ac:dyDescent="0.25">
      <c r="B50" s="450"/>
      <c r="C50" s="359"/>
      <c r="D50" s="359"/>
      <c r="E50" s="359"/>
      <c r="F50" s="359"/>
      <c r="G50" s="359"/>
      <c r="H50" s="360"/>
      <c r="I50" s="359"/>
      <c r="J50" s="360"/>
      <c r="K50" s="359"/>
      <c r="L50" s="359"/>
      <c r="M50" s="449"/>
      <c r="Q50" s="355"/>
    </row>
    <row r="51" spans="2:17" s="359" customFormat="1" ht="15.75" thickBot="1" x14ac:dyDescent="0.3">
      <c r="B51" s="456"/>
      <c r="C51" s="457"/>
      <c r="D51" s="457"/>
      <c r="E51" s="457"/>
      <c r="F51" s="457"/>
      <c r="G51" s="457"/>
      <c r="H51" s="458"/>
      <c r="I51" s="457"/>
      <c r="J51" s="458"/>
      <c r="K51" s="457"/>
      <c r="L51" s="457"/>
      <c r="M51" s="459"/>
    </row>
    <row r="52" spans="2:17" s="359" customFormat="1" x14ac:dyDescent="0.25"/>
    <row r="53" spans="2:17" x14ac:dyDescent="0.25">
      <c r="M53" s="362"/>
      <c r="Q53" s="355"/>
    </row>
    <row r="54" spans="2:17" x14ac:dyDescent="0.25">
      <c r="Q54" s="355"/>
    </row>
    <row r="55" spans="2:17" x14ac:dyDescent="0.25">
      <c r="Q55" s="355"/>
    </row>
    <row r="56" spans="2:17" hidden="1" x14ac:dyDescent="0.25">
      <c r="Q56" s="355"/>
    </row>
    <row r="57" spans="2:17" hidden="1" x14ac:dyDescent="0.25">
      <c r="B57" s="787" t="s">
        <v>290</v>
      </c>
      <c r="C57" s="378">
        <f>IF((SUM(M6:M15)&gt;0)*(COUNTBLANK(C21:C29)=COUNTBLANK(D21:D29))*(COUNTBLANK(C21:C29)&lt;9)=1,1,0)</f>
        <v>1</v>
      </c>
      <c r="D57" s="378">
        <f>IF((SUM(M6:M15)=(10-COUNTBLANK(C21:C29)))*(SUM(M6:M15)=(10-COUNTBLANK(D21:D29)))=1,1,0)</f>
        <v>1</v>
      </c>
      <c r="Q57" s="355"/>
    </row>
    <row r="58" spans="2:17" hidden="1" x14ac:dyDescent="0.25">
      <c r="B58" s="787" t="s">
        <v>291</v>
      </c>
      <c r="C58" s="378">
        <f>IF((SUM(M6:M15)&gt;0)*(COUNTBLANK(C36:C44)=COUNTBLANK(D36:D44))*(COUNTBLANK(C36:C44)&lt;9)=1,1,0)</f>
        <v>1</v>
      </c>
      <c r="D58" s="378">
        <f>IF((SUM(M6:M15)=(10-COUNTBLANK(C36:C44)))*(SUM(M6:M15)=(10-COUNTBLANK(D36:D44))),1,0)</f>
        <v>1</v>
      </c>
      <c r="Q58" s="355"/>
    </row>
    <row r="59" spans="2:17" hidden="1" x14ac:dyDescent="0.25">
      <c r="B59" s="355" t="s">
        <v>292</v>
      </c>
      <c r="C59" s="378">
        <f>IF((COUNTIF(C6:L15,"&lt;0") + COUNTIF(C6:L15,"&gt;1"))&gt;0,1,0)</f>
        <v>0</v>
      </c>
      <c r="Q59" s="355"/>
    </row>
    <row r="60" spans="2:17" hidden="1" x14ac:dyDescent="0.25">
      <c r="Q60" s="355"/>
    </row>
    <row r="61" spans="2:17" x14ac:dyDescent="0.25">
      <c r="Q61" s="355"/>
    </row>
    <row r="62" spans="2:17" x14ac:dyDescent="0.25">
      <c r="Q62" s="355"/>
    </row>
    <row r="63" spans="2:17" x14ac:dyDescent="0.25">
      <c r="Q63" s="355"/>
    </row>
    <row r="64" spans="2:17" x14ac:dyDescent="0.25">
      <c r="Q64" s="355"/>
    </row>
    <row r="65" spans="17:17" x14ac:dyDescent="0.25">
      <c r="Q65" s="355"/>
    </row>
    <row r="66" spans="17:17" x14ac:dyDescent="0.25">
      <c r="Q66" s="355"/>
    </row>
    <row r="67" spans="17:17" x14ac:dyDescent="0.25">
      <c r="Q67" s="355"/>
    </row>
    <row r="68" spans="17:17" x14ac:dyDescent="0.25">
      <c r="Q68" s="355"/>
    </row>
    <row r="69" spans="17:17" x14ac:dyDescent="0.25">
      <c r="Q69" s="355"/>
    </row>
    <row r="70" spans="17:17" x14ac:dyDescent="0.25">
      <c r="Q70" s="355"/>
    </row>
    <row r="71" spans="17:17" x14ac:dyDescent="0.25">
      <c r="Q71" s="355"/>
    </row>
    <row r="72" spans="17:17" x14ac:dyDescent="0.25">
      <c r="Q72" s="355"/>
    </row>
    <row r="73" spans="17:17" x14ac:dyDescent="0.25">
      <c r="Q73" s="355"/>
    </row>
    <row r="74" spans="17:17" x14ac:dyDescent="0.25">
      <c r="Q74" s="355"/>
    </row>
    <row r="75" spans="17:17" x14ac:dyDescent="0.25">
      <c r="Q75" s="355"/>
    </row>
    <row r="76" spans="17:17" x14ac:dyDescent="0.25">
      <c r="Q76" s="355"/>
    </row>
    <row r="77" spans="17:17" x14ac:dyDescent="0.25">
      <c r="Q77" s="355"/>
    </row>
    <row r="78" spans="17:17" x14ac:dyDescent="0.25">
      <c r="Q78" s="355"/>
    </row>
    <row r="79" spans="17:17" x14ac:dyDescent="0.25">
      <c r="Q79" s="355"/>
    </row>
    <row r="80" spans="17:17" x14ac:dyDescent="0.25">
      <c r="Q80" s="355"/>
    </row>
    <row r="81" spans="17:17" x14ac:dyDescent="0.25">
      <c r="Q81" s="355"/>
    </row>
    <row r="82" spans="17:17" x14ac:dyDescent="0.25">
      <c r="Q82" s="355"/>
    </row>
    <row r="83" spans="17:17" x14ac:dyDescent="0.25">
      <c r="Q83" s="355"/>
    </row>
    <row r="84" spans="17:17" x14ac:dyDescent="0.25">
      <c r="Q84" s="355"/>
    </row>
    <row r="85" spans="17:17" x14ac:dyDescent="0.25">
      <c r="Q85" s="355"/>
    </row>
    <row r="86" spans="17:17" x14ac:dyDescent="0.25">
      <c r="Q86" s="355"/>
    </row>
    <row r="87" spans="17:17" x14ac:dyDescent="0.25">
      <c r="Q87" s="355"/>
    </row>
    <row r="88" spans="17:17" x14ac:dyDescent="0.25">
      <c r="Q88" s="355"/>
    </row>
    <row r="89" spans="17:17" x14ac:dyDescent="0.25">
      <c r="Q89" s="355"/>
    </row>
    <row r="90" spans="17:17" x14ac:dyDescent="0.25">
      <c r="Q90" s="355"/>
    </row>
    <row r="91" spans="17:17" x14ac:dyDescent="0.25">
      <c r="Q91" s="355"/>
    </row>
    <row r="92" spans="17:17" x14ac:dyDescent="0.25">
      <c r="Q92" s="355"/>
    </row>
    <row r="93" spans="17:17" x14ac:dyDescent="0.25">
      <c r="Q93" s="355"/>
    </row>
    <row r="94" spans="17:17" x14ac:dyDescent="0.25">
      <c r="Q94" s="355"/>
    </row>
    <row r="95" spans="17:17" x14ac:dyDescent="0.25">
      <c r="Q95" s="355"/>
    </row>
    <row r="96" spans="17:17" x14ac:dyDescent="0.25">
      <c r="Q96" s="355"/>
    </row>
    <row r="97" spans="17:17" x14ac:dyDescent="0.25">
      <c r="Q97" s="355"/>
    </row>
    <row r="98" spans="17:17" x14ac:dyDescent="0.25">
      <c r="Q98" s="355"/>
    </row>
    <row r="99" spans="17:17" x14ac:dyDescent="0.25">
      <c r="Q99" s="355"/>
    </row>
    <row r="100" spans="17:17" x14ac:dyDescent="0.25">
      <c r="Q100" s="355"/>
    </row>
    <row r="101" spans="17:17" x14ac:dyDescent="0.25">
      <c r="Q101" s="355"/>
    </row>
    <row r="102" spans="17:17" x14ac:dyDescent="0.25">
      <c r="Q102" s="355"/>
    </row>
    <row r="103" spans="17:17" x14ac:dyDescent="0.25">
      <c r="Q103" s="355"/>
    </row>
    <row r="104" spans="17:17" x14ac:dyDescent="0.25">
      <c r="Q104" s="355"/>
    </row>
    <row r="105" spans="17:17" x14ac:dyDescent="0.25">
      <c r="Q105" s="355"/>
    </row>
    <row r="106" spans="17:17" x14ac:dyDescent="0.25">
      <c r="Q106" s="355"/>
    </row>
    <row r="107" spans="17:17" x14ac:dyDescent="0.25">
      <c r="Q107" s="355"/>
    </row>
    <row r="108" spans="17:17" x14ac:dyDescent="0.25">
      <c r="Q108" s="355"/>
    </row>
    <row r="109" spans="17:17" x14ac:dyDescent="0.25">
      <c r="Q109" s="355"/>
    </row>
    <row r="110" spans="17:17" x14ac:dyDescent="0.25">
      <c r="Q110" s="355"/>
    </row>
    <row r="111" spans="17:17" x14ac:dyDescent="0.25">
      <c r="Q111" s="355"/>
    </row>
    <row r="112" spans="17:17" x14ac:dyDescent="0.25">
      <c r="Q112" s="355"/>
    </row>
    <row r="113" spans="17:17" x14ac:dyDescent="0.25">
      <c r="Q113" s="355"/>
    </row>
    <row r="114" spans="17:17" x14ac:dyDescent="0.25">
      <c r="Q114" s="355"/>
    </row>
    <row r="115" spans="17:17" x14ac:dyDescent="0.25">
      <c r="Q115" s="355"/>
    </row>
    <row r="116" spans="17:17" x14ac:dyDescent="0.25">
      <c r="Q116" s="355"/>
    </row>
    <row r="117" spans="17:17" x14ac:dyDescent="0.25">
      <c r="Q117" s="355"/>
    </row>
    <row r="118" spans="17:17" x14ac:dyDescent="0.25">
      <c r="Q118" s="355"/>
    </row>
    <row r="119" spans="17:17" x14ac:dyDescent="0.25">
      <c r="Q119" s="355"/>
    </row>
    <row r="120" spans="17:17" x14ac:dyDescent="0.25">
      <c r="Q120" s="355"/>
    </row>
    <row r="121" spans="17:17" x14ac:dyDescent="0.25">
      <c r="Q121" s="355"/>
    </row>
    <row r="122" spans="17:17" x14ac:dyDescent="0.25">
      <c r="Q122" s="355"/>
    </row>
    <row r="123" spans="17:17" x14ac:dyDescent="0.25">
      <c r="Q123" s="355"/>
    </row>
    <row r="124" spans="17:17" x14ac:dyDescent="0.25">
      <c r="Q124" s="355"/>
    </row>
    <row r="125" spans="17:17" x14ac:dyDescent="0.25">
      <c r="Q125" s="355"/>
    </row>
    <row r="126" spans="17:17" x14ac:dyDescent="0.25">
      <c r="Q126" s="355"/>
    </row>
    <row r="127" spans="17:17" x14ac:dyDescent="0.25">
      <c r="Q127" s="355"/>
    </row>
    <row r="128" spans="17:17" x14ac:dyDescent="0.25">
      <c r="Q128" s="355"/>
    </row>
    <row r="129" spans="17:17" x14ac:dyDescent="0.25">
      <c r="Q129" s="355"/>
    </row>
    <row r="130" spans="17:17" x14ac:dyDescent="0.25">
      <c r="Q130" s="355"/>
    </row>
    <row r="131" spans="17:17" x14ac:dyDescent="0.25">
      <c r="Q131" s="355"/>
    </row>
    <row r="132" spans="17:17" x14ac:dyDescent="0.25">
      <c r="Q132" s="355"/>
    </row>
    <row r="133" spans="17:17" x14ac:dyDescent="0.25">
      <c r="Q133" s="355"/>
    </row>
    <row r="134" spans="17:17" x14ac:dyDescent="0.25">
      <c r="Q134" s="355"/>
    </row>
    <row r="135" spans="17:17" x14ac:dyDescent="0.25">
      <c r="Q135" s="355"/>
    </row>
    <row r="136" spans="17:17" x14ac:dyDescent="0.25">
      <c r="Q136" s="355"/>
    </row>
    <row r="137" spans="17:17" x14ac:dyDescent="0.25">
      <c r="Q137" s="355"/>
    </row>
    <row r="138" spans="17:17" x14ac:dyDescent="0.25">
      <c r="Q138" s="355"/>
    </row>
    <row r="139" spans="17:17" x14ac:dyDescent="0.25">
      <c r="Q139" s="355"/>
    </row>
    <row r="140" spans="17:17" x14ac:dyDescent="0.25">
      <c r="Q140" s="355"/>
    </row>
    <row r="141" spans="17:17" x14ac:dyDescent="0.25">
      <c r="Q141" s="355"/>
    </row>
    <row r="142" spans="17:17" x14ac:dyDescent="0.25">
      <c r="Q142" s="355"/>
    </row>
    <row r="143" spans="17:17" x14ac:dyDescent="0.25">
      <c r="Q143" s="355"/>
    </row>
    <row r="144" spans="17:17" x14ac:dyDescent="0.25">
      <c r="Q144" s="355"/>
    </row>
    <row r="145" spans="17:17" x14ac:dyDescent="0.25">
      <c r="Q145" s="355"/>
    </row>
    <row r="146" spans="17:17" x14ac:dyDescent="0.25">
      <c r="Q146" s="355"/>
    </row>
    <row r="147" spans="17:17" x14ac:dyDescent="0.25">
      <c r="Q147" s="355"/>
    </row>
    <row r="148" spans="17:17" x14ac:dyDescent="0.25">
      <c r="Q148" s="355"/>
    </row>
    <row r="149" spans="17:17" x14ac:dyDescent="0.25">
      <c r="Q149" s="355"/>
    </row>
    <row r="150" spans="17:17" x14ac:dyDescent="0.25">
      <c r="Q150" s="355"/>
    </row>
    <row r="151" spans="17:17" x14ac:dyDescent="0.25">
      <c r="Q151" s="355"/>
    </row>
    <row r="152" spans="17:17" x14ac:dyDescent="0.25">
      <c r="Q152" s="355"/>
    </row>
    <row r="153" spans="17:17" x14ac:dyDescent="0.25">
      <c r="Q153" s="355"/>
    </row>
    <row r="154" spans="17:17" x14ac:dyDescent="0.25">
      <c r="Q154" s="355"/>
    </row>
    <row r="155" spans="17:17" x14ac:dyDescent="0.25">
      <c r="Q155" s="355"/>
    </row>
    <row r="156" spans="17:17" x14ac:dyDescent="0.25">
      <c r="Q156" s="355"/>
    </row>
    <row r="157" spans="17:17" x14ac:dyDescent="0.25">
      <c r="Q157" s="355"/>
    </row>
    <row r="158" spans="17:17" x14ac:dyDescent="0.25">
      <c r="Q158" s="355"/>
    </row>
    <row r="159" spans="17:17" x14ac:dyDescent="0.25">
      <c r="Q159" s="355"/>
    </row>
    <row r="160" spans="17:17" x14ac:dyDescent="0.25">
      <c r="Q160" s="355"/>
    </row>
    <row r="161" spans="17:17" x14ac:dyDescent="0.25">
      <c r="Q161" s="355"/>
    </row>
    <row r="162" spans="17:17" x14ac:dyDescent="0.25">
      <c r="Q162" s="355"/>
    </row>
    <row r="163" spans="17:17" x14ac:dyDescent="0.25">
      <c r="Q163" s="355"/>
    </row>
    <row r="164" spans="17:17" x14ac:dyDescent="0.25">
      <c r="Q164" s="355"/>
    </row>
    <row r="165" spans="17:17" x14ac:dyDescent="0.25">
      <c r="Q165" s="355"/>
    </row>
    <row r="166" spans="17:17" x14ac:dyDescent="0.25">
      <c r="Q166" s="355"/>
    </row>
    <row r="167" spans="17:17" x14ac:dyDescent="0.25">
      <c r="Q167" s="355"/>
    </row>
    <row r="168" spans="17:17" x14ac:dyDescent="0.25">
      <c r="Q168" s="355"/>
    </row>
    <row r="169" spans="17:17" x14ac:dyDescent="0.25">
      <c r="Q169" s="355"/>
    </row>
    <row r="170" spans="17:17" x14ac:dyDescent="0.25">
      <c r="Q170" s="355"/>
    </row>
    <row r="171" spans="17:17" x14ac:dyDescent="0.25">
      <c r="Q171" s="355"/>
    </row>
    <row r="172" spans="17:17" x14ac:dyDescent="0.25">
      <c r="Q172" s="355"/>
    </row>
    <row r="173" spans="17:17" x14ac:dyDescent="0.25">
      <c r="Q173" s="355"/>
    </row>
    <row r="174" spans="17:17" x14ac:dyDescent="0.25">
      <c r="Q174" s="355"/>
    </row>
    <row r="175" spans="17:17" x14ac:dyDescent="0.25">
      <c r="Q175" s="355"/>
    </row>
    <row r="176" spans="17:17" x14ac:dyDescent="0.25">
      <c r="Q176" s="355"/>
    </row>
    <row r="177" spans="17:17" x14ac:dyDescent="0.25">
      <c r="Q177" s="355"/>
    </row>
    <row r="178" spans="17:17" x14ac:dyDescent="0.25">
      <c r="Q178" s="355"/>
    </row>
    <row r="179" spans="17:17" x14ac:dyDescent="0.25">
      <c r="Q179" s="355"/>
    </row>
    <row r="180" spans="17:17" x14ac:dyDescent="0.25">
      <c r="Q180" s="355"/>
    </row>
    <row r="181" spans="17:17" x14ac:dyDescent="0.25">
      <c r="Q181" s="355"/>
    </row>
    <row r="182" spans="17:17" x14ac:dyDescent="0.25">
      <c r="Q182" s="355"/>
    </row>
    <row r="183" spans="17:17" x14ac:dyDescent="0.25">
      <c r="Q183" s="355"/>
    </row>
    <row r="184" spans="17:17" x14ac:dyDescent="0.25">
      <c r="Q184" s="355"/>
    </row>
    <row r="185" spans="17:17" x14ac:dyDescent="0.25">
      <c r="Q185" s="355"/>
    </row>
    <row r="186" spans="17:17" x14ac:dyDescent="0.25">
      <c r="Q186" s="355"/>
    </row>
    <row r="187" spans="17:17" x14ac:dyDescent="0.25">
      <c r="Q187" s="355"/>
    </row>
    <row r="188" spans="17:17" x14ac:dyDescent="0.25">
      <c r="Q188" s="355"/>
    </row>
    <row r="189" spans="17:17" x14ac:dyDescent="0.25">
      <c r="Q189" s="355"/>
    </row>
    <row r="190" spans="17:17" x14ac:dyDescent="0.25">
      <c r="Q190" s="355"/>
    </row>
    <row r="191" spans="17:17" x14ac:dyDescent="0.25">
      <c r="Q191" s="355"/>
    </row>
    <row r="192" spans="17:17" x14ac:dyDescent="0.25">
      <c r="Q192" s="355"/>
    </row>
    <row r="193" spans="17:17" x14ac:dyDescent="0.25">
      <c r="Q193" s="355"/>
    </row>
    <row r="194" spans="17:17" x14ac:dyDescent="0.25">
      <c r="Q194" s="355"/>
    </row>
    <row r="195" spans="17:17" x14ac:dyDescent="0.25">
      <c r="Q195" s="355"/>
    </row>
    <row r="196" spans="17:17" x14ac:dyDescent="0.25">
      <c r="Q196" s="355"/>
    </row>
    <row r="197" spans="17:17" x14ac:dyDescent="0.25">
      <c r="Q197" s="355"/>
    </row>
    <row r="198" spans="17:17" x14ac:dyDescent="0.25">
      <c r="Q198" s="355"/>
    </row>
    <row r="199" spans="17:17" x14ac:dyDescent="0.25">
      <c r="Q199" s="355"/>
    </row>
    <row r="200" spans="17:17" x14ac:dyDescent="0.25">
      <c r="Q200" s="355"/>
    </row>
    <row r="201" spans="17:17" x14ac:dyDescent="0.25">
      <c r="Q201" s="355"/>
    </row>
    <row r="202" spans="17:17" x14ac:dyDescent="0.25">
      <c r="Q202" s="355"/>
    </row>
    <row r="203" spans="17:17" x14ac:dyDescent="0.25">
      <c r="Q203" s="355"/>
    </row>
    <row r="204" spans="17:17" x14ac:dyDescent="0.25">
      <c r="Q204" s="355"/>
    </row>
    <row r="205" spans="17:17" x14ac:dyDescent="0.25">
      <c r="Q205" s="355"/>
    </row>
    <row r="206" spans="17:17" x14ac:dyDescent="0.25">
      <c r="Q206" s="355"/>
    </row>
    <row r="207" spans="17:17" x14ac:dyDescent="0.25">
      <c r="Q207" s="355"/>
    </row>
    <row r="208" spans="17:17" x14ac:dyDescent="0.25">
      <c r="Q208" s="355"/>
    </row>
    <row r="209" spans="17:17" x14ac:dyDescent="0.25">
      <c r="Q209" s="355"/>
    </row>
    <row r="210" spans="17:17" x14ac:dyDescent="0.25">
      <c r="Q210" s="355"/>
    </row>
    <row r="211" spans="17:17" x14ac:dyDescent="0.25">
      <c r="Q211" s="355"/>
    </row>
    <row r="212" spans="17:17" x14ac:dyDescent="0.25">
      <c r="Q212" s="355"/>
    </row>
    <row r="213" spans="17:17" x14ac:dyDescent="0.25">
      <c r="Q213" s="355"/>
    </row>
    <row r="214" spans="17:17" x14ac:dyDescent="0.25">
      <c r="Q214" s="355"/>
    </row>
    <row r="215" spans="17:17" x14ac:dyDescent="0.25">
      <c r="Q215" s="355"/>
    </row>
    <row r="216" spans="17:17" x14ac:dyDescent="0.25">
      <c r="Q216" s="355"/>
    </row>
    <row r="217" spans="17:17" x14ac:dyDescent="0.25">
      <c r="Q217" s="355"/>
    </row>
    <row r="218" spans="17:17" x14ac:dyDescent="0.25">
      <c r="Q218" s="355"/>
    </row>
    <row r="219" spans="17:17" x14ac:dyDescent="0.25">
      <c r="Q219" s="355"/>
    </row>
    <row r="220" spans="17:17" x14ac:dyDescent="0.25">
      <c r="Q220" s="355"/>
    </row>
    <row r="221" spans="17:17" x14ac:dyDescent="0.25">
      <c r="Q221" s="355"/>
    </row>
    <row r="222" spans="17:17" x14ac:dyDescent="0.25">
      <c r="Q222" s="355"/>
    </row>
    <row r="223" spans="17:17" x14ac:dyDescent="0.25">
      <c r="Q223" s="355"/>
    </row>
    <row r="224" spans="17:17" x14ac:dyDescent="0.25">
      <c r="Q224" s="355"/>
    </row>
    <row r="225" spans="17:17" x14ac:dyDescent="0.25">
      <c r="Q225" s="355"/>
    </row>
    <row r="226" spans="17:17" x14ac:dyDescent="0.25">
      <c r="Q226" s="355"/>
    </row>
    <row r="227" spans="17:17" x14ac:dyDescent="0.25">
      <c r="Q227" s="355"/>
    </row>
    <row r="228" spans="17:17" x14ac:dyDescent="0.25">
      <c r="Q228" s="355"/>
    </row>
    <row r="229" spans="17:17" x14ac:dyDescent="0.25">
      <c r="Q229" s="355"/>
    </row>
    <row r="230" spans="17:17" x14ac:dyDescent="0.25">
      <c r="Q230" s="355"/>
    </row>
    <row r="231" spans="17:17" x14ac:dyDescent="0.25">
      <c r="Q231" s="355"/>
    </row>
    <row r="232" spans="17:17" x14ac:dyDescent="0.25">
      <c r="Q232" s="355"/>
    </row>
    <row r="233" spans="17:17" x14ac:dyDescent="0.25">
      <c r="Q233" s="355"/>
    </row>
    <row r="234" spans="17:17" x14ac:dyDescent="0.25">
      <c r="Q234" s="355"/>
    </row>
    <row r="235" spans="17:17" x14ac:dyDescent="0.25">
      <c r="Q235" s="355"/>
    </row>
    <row r="236" spans="17:17" x14ac:dyDescent="0.25">
      <c r="Q236" s="355"/>
    </row>
    <row r="237" spans="17:17" x14ac:dyDescent="0.25">
      <c r="Q237" s="355"/>
    </row>
    <row r="238" spans="17:17" x14ac:dyDescent="0.25">
      <c r="Q238" s="355"/>
    </row>
    <row r="239" spans="17:17" x14ac:dyDescent="0.25">
      <c r="Q239" s="355"/>
    </row>
    <row r="240" spans="17:17" x14ac:dyDescent="0.25">
      <c r="Q240" s="355"/>
    </row>
    <row r="241" spans="17:17" x14ac:dyDescent="0.25">
      <c r="Q241" s="355"/>
    </row>
    <row r="242" spans="17:17" x14ac:dyDescent="0.25">
      <c r="Q242" s="355"/>
    </row>
    <row r="243" spans="17:17" x14ac:dyDescent="0.25">
      <c r="Q243" s="355"/>
    </row>
    <row r="244" spans="17:17" x14ac:dyDescent="0.25">
      <c r="Q244" s="355"/>
    </row>
    <row r="245" spans="17:17" x14ac:dyDescent="0.25">
      <c r="Q245" s="355"/>
    </row>
    <row r="246" spans="17:17" x14ac:dyDescent="0.25">
      <c r="Q246" s="355"/>
    </row>
    <row r="247" spans="17:17" x14ac:dyDescent="0.25">
      <c r="Q247" s="355"/>
    </row>
    <row r="248" spans="17:17" x14ac:dyDescent="0.25">
      <c r="Q248" s="355"/>
    </row>
    <row r="249" spans="17:17" x14ac:dyDescent="0.25">
      <c r="Q249" s="355"/>
    </row>
    <row r="250" spans="17:17" x14ac:dyDescent="0.25">
      <c r="Q250" s="355"/>
    </row>
    <row r="251" spans="17:17" x14ac:dyDescent="0.25">
      <c r="Q251" s="355"/>
    </row>
    <row r="252" spans="17:17" x14ac:dyDescent="0.25">
      <c r="Q252" s="355"/>
    </row>
    <row r="253" spans="17:17" x14ac:dyDescent="0.25">
      <c r="Q253" s="355"/>
    </row>
    <row r="254" spans="17:17" x14ac:dyDescent="0.25">
      <c r="Q254" s="355"/>
    </row>
    <row r="255" spans="17:17" x14ac:dyDescent="0.25">
      <c r="Q255" s="355"/>
    </row>
    <row r="256" spans="17:17" x14ac:dyDescent="0.25">
      <c r="Q256" s="355"/>
    </row>
    <row r="257" spans="17:17" x14ac:dyDescent="0.25">
      <c r="Q257" s="355"/>
    </row>
    <row r="258" spans="17:17" x14ac:dyDescent="0.25">
      <c r="Q258" s="355"/>
    </row>
    <row r="259" spans="17:17" x14ac:dyDescent="0.25">
      <c r="Q259" s="355"/>
    </row>
    <row r="260" spans="17:17" x14ac:dyDescent="0.25">
      <c r="Q260" s="355"/>
    </row>
    <row r="261" spans="17:17" x14ac:dyDescent="0.25">
      <c r="Q261" s="355"/>
    </row>
    <row r="262" spans="17:17" x14ac:dyDescent="0.25">
      <c r="Q262" s="355"/>
    </row>
    <row r="263" spans="17:17" x14ac:dyDescent="0.25">
      <c r="Q263" s="355"/>
    </row>
    <row r="264" spans="17:17" x14ac:dyDescent="0.25">
      <c r="Q264" s="355"/>
    </row>
    <row r="265" spans="17:17" x14ac:dyDescent="0.25">
      <c r="Q265" s="355"/>
    </row>
    <row r="266" spans="17:17" x14ac:dyDescent="0.25">
      <c r="Q266" s="355"/>
    </row>
    <row r="267" spans="17:17" x14ac:dyDescent="0.25">
      <c r="Q267" s="355"/>
    </row>
    <row r="268" spans="17:17" x14ac:dyDescent="0.25">
      <c r="Q268" s="355"/>
    </row>
    <row r="269" spans="17:17" x14ac:dyDescent="0.25">
      <c r="Q269" s="355"/>
    </row>
    <row r="270" spans="17:17" x14ac:dyDescent="0.25">
      <c r="Q270" s="355"/>
    </row>
    <row r="271" spans="17:17" x14ac:dyDescent="0.25">
      <c r="Q271" s="355"/>
    </row>
    <row r="272" spans="17:17" x14ac:dyDescent="0.25">
      <c r="Q272" s="355"/>
    </row>
    <row r="273" spans="17:17" x14ac:dyDescent="0.25">
      <c r="Q273" s="355"/>
    </row>
    <row r="274" spans="17:17" x14ac:dyDescent="0.25">
      <c r="Q274" s="355"/>
    </row>
    <row r="275" spans="17:17" x14ac:dyDescent="0.25">
      <c r="Q275" s="355"/>
    </row>
    <row r="276" spans="17:17" x14ac:dyDescent="0.25">
      <c r="Q276" s="355"/>
    </row>
    <row r="277" spans="17:17" x14ac:dyDescent="0.25">
      <c r="Q277" s="355"/>
    </row>
    <row r="278" spans="17:17" x14ac:dyDescent="0.25">
      <c r="Q278" s="355"/>
    </row>
    <row r="279" spans="17:17" x14ac:dyDescent="0.25">
      <c r="Q279" s="355"/>
    </row>
    <row r="280" spans="17:17" x14ac:dyDescent="0.25">
      <c r="Q280" s="355"/>
    </row>
    <row r="281" spans="17:17" x14ac:dyDescent="0.25">
      <c r="Q281" s="355"/>
    </row>
    <row r="282" spans="17:17" x14ac:dyDescent="0.25">
      <c r="Q282" s="355"/>
    </row>
    <row r="283" spans="17:17" x14ac:dyDescent="0.25">
      <c r="Q283" s="355"/>
    </row>
    <row r="284" spans="17:17" x14ac:dyDescent="0.25">
      <c r="Q284" s="355"/>
    </row>
    <row r="285" spans="17:17" x14ac:dyDescent="0.25">
      <c r="Q285" s="355"/>
    </row>
    <row r="286" spans="17:17" x14ac:dyDescent="0.25">
      <c r="Q286" s="355"/>
    </row>
    <row r="287" spans="17:17" x14ac:dyDescent="0.25">
      <c r="Q287" s="355"/>
    </row>
    <row r="288" spans="17:17" x14ac:dyDescent="0.25">
      <c r="Q288" s="355"/>
    </row>
    <row r="289" spans="17:17" x14ac:dyDescent="0.25">
      <c r="Q289" s="355"/>
    </row>
    <row r="290" spans="17:17" x14ac:dyDescent="0.25">
      <c r="Q290" s="355"/>
    </row>
    <row r="291" spans="17:17" x14ac:dyDescent="0.25">
      <c r="Q291" s="355"/>
    </row>
    <row r="292" spans="17:17" x14ac:dyDescent="0.25">
      <c r="Q292" s="355"/>
    </row>
    <row r="293" spans="17:17" x14ac:dyDescent="0.25">
      <c r="Q293" s="355"/>
    </row>
    <row r="294" spans="17:17" x14ac:dyDescent="0.25">
      <c r="Q294" s="355"/>
    </row>
    <row r="295" spans="17:17" x14ac:dyDescent="0.25">
      <c r="Q295" s="355"/>
    </row>
    <row r="296" spans="17:17" x14ac:dyDescent="0.25">
      <c r="Q296" s="355"/>
    </row>
    <row r="297" spans="17:17" x14ac:dyDescent="0.25">
      <c r="Q297" s="355"/>
    </row>
    <row r="298" spans="17:17" x14ac:dyDescent="0.25">
      <c r="Q298" s="355"/>
    </row>
    <row r="299" spans="17:17" x14ac:dyDescent="0.25">
      <c r="Q299" s="355"/>
    </row>
    <row r="300" spans="17:17" x14ac:dyDescent="0.25">
      <c r="Q300" s="355"/>
    </row>
    <row r="301" spans="17:17" x14ac:dyDescent="0.25">
      <c r="Q301" s="355"/>
    </row>
    <row r="302" spans="17:17" x14ac:dyDescent="0.25">
      <c r="Q302" s="355"/>
    </row>
    <row r="303" spans="17:17" x14ac:dyDescent="0.25">
      <c r="Q303" s="355"/>
    </row>
    <row r="304" spans="17:17" x14ac:dyDescent="0.25">
      <c r="Q304" s="355"/>
    </row>
    <row r="305" spans="17:17" x14ac:dyDescent="0.25">
      <c r="Q305" s="355"/>
    </row>
    <row r="306" spans="17:17" x14ac:dyDescent="0.25">
      <c r="Q306" s="355"/>
    </row>
    <row r="307" spans="17:17" x14ac:dyDescent="0.25">
      <c r="Q307" s="355"/>
    </row>
    <row r="308" spans="17:17" x14ac:dyDescent="0.25">
      <c r="Q308" s="355"/>
    </row>
    <row r="309" spans="17:17" x14ac:dyDescent="0.25">
      <c r="Q309" s="355"/>
    </row>
    <row r="310" spans="17:17" x14ac:dyDescent="0.25">
      <c r="Q310" s="355"/>
    </row>
    <row r="311" spans="17:17" x14ac:dyDescent="0.25">
      <c r="Q311" s="355"/>
    </row>
    <row r="312" spans="17:17" x14ac:dyDescent="0.25">
      <c r="Q312" s="355"/>
    </row>
    <row r="313" spans="17:17" x14ac:dyDescent="0.25">
      <c r="Q313" s="355"/>
    </row>
    <row r="314" spans="17:17" x14ac:dyDescent="0.25">
      <c r="Q314" s="355"/>
    </row>
    <row r="315" spans="17:17" x14ac:dyDescent="0.25">
      <c r="Q315" s="355"/>
    </row>
    <row r="316" spans="17:17" x14ac:dyDescent="0.25">
      <c r="Q316" s="355"/>
    </row>
    <row r="317" spans="17:17" x14ac:dyDescent="0.25">
      <c r="Q317" s="355"/>
    </row>
    <row r="318" spans="17:17" x14ac:dyDescent="0.25">
      <c r="Q318" s="355"/>
    </row>
    <row r="319" spans="17:17" x14ac:dyDescent="0.25">
      <c r="Q319" s="355"/>
    </row>
    <row r="320" spans="17:17" x14ac:dyDescent="0.25">
      <c r="Q320" s="355"/>
    </row>
    <row r="321" spans="17:17" x14ac:dyDescent="0.25">
      <c r="Q321" s="355"/>
    </row>
    <row r="322" spans="17:17" x14ac:dyDescent="0.25">
      <c r="Q322" s="355"/>
    </row>
    <row r="323" spans="17:17" x14ac:dyDescent="0.25">
      <c r="Q323" s="355"/>
    </row>
    <row r="324" spans="17:17" x14ac:dyDescent="0.25">
      <c r="Q324" s="355"/>
    </row>
    <row r="325" spans="17:17" x14ac:dyDescent="0.25">
      <c r="Q325" s="355"/>
    </row>
    <row r="326" spans="17:17" x14ac:dyDescent="0.25">
      <c r="Q326" s="355"/>
    </row>
    <row r="327" spans="17:17" x14ac:dyDescent="0.25">
      <c r="Q327" s="355"/>
    </row>
    <row r="328" spans="17:17" x14ac:dyDescent="0.25">
      <c r="Q328" s="355"/>
    </row>
    <row r="329" spans="17:17" x14ac:dyDescent="0.25">
      <c r="Q329" s="355"/>
    </row>
    <row r="330" spans="17:17" x14ac:dyDescent="0.25">
      <c r="Q330" s="355"/>
    </row>
    <row r="331" spans="17:17" x14ac:dyDescent="0.25">
      <c r="Q331" s="355"/>
    </row>
    <row r="332" spans="17:17" x14ac:dyDescent="0.25">
      <c r="Q332" s="355"/>
    </row>
    <row r="333" spans="17:17" x14ac:dyDescent="0.25">
      <c r="Q333" s="355"/>
    </row>
    <row r="334" spans="17:17" x14ac:dyDescent="0.25">
      <c r="Q334" s="355"/>
    </row>
    <row r="335" spans="17:17" x14ac:dyDescent="0.25">
      <c r="Q335" s="355"/>
    </row>
    <row r="336" spans="17:17" x14ac:dyDescent="0.25">
      <c r="Q336" s="355"/>
    </row>
    <row r="337" spans="17:17" x14ac:dyDescent="0.25">
      <c r="Q337" s="355"/>
    </row>
    <row r="338" spans="17:17" x14ac:dyDescent="0.25">
      <c r="Q338" s="355"/>
    </row>
    <row r="339" spans="17:17" x14ac:dyDescent="0.25">
      <c r="Q339" s="355"/>
    </row>
    <row r="340" spans="17:17" x14ac:dyDescent="0.25">
      <c r="Q340" s="355"/>
    </row>
    <row r="341" spans="17:17" x14ac:dyDescent="0.25">
      <c r="Q341" s="355"/>
    </row>
    <row r="342" spans="17:17" x14ac:dyDescent="0.25">
      <c r="Q342" s="355"/>
    </row>
    <row r="343" spans="17:17" x14ac:dyDescent="0.25">
      <c r="Q343" s="355"/>
    </row>
    <row r="344" spans="17:17" x14ac:dyDescent="0.25">
      <c r="Q344" s="355"/>
    </row>
    <row r="345" spans="17:17" x14ac:dyDescent="0.25">
      <c r="Q345" s="355"/>
    </row>
    <row r="346" spans="17:17" x14ac:dyDescent="0.25">
      <c r="Q346" s="355"/>
    </row>
    <row r="347" spans="17:17" x14ac:dyDescent="0.25">
      <c r="Q347" s="355"/>
    </row>
    <row r="348" spans="17:17" x14ac:dyDescent="0.25">
      <c r="Q348" s="355"/>
    </row>
    <row r="349" spans="17:17" x14ac:dyDescent="0.25">
      <c r="Q349" s="355"/>
    </row>
    <row r="350" spans="17:17" x14ac:dyDescent="0.25">
      <c r="Q350" s="355"/>
    </row>
    <row r="351" spans="17:17" x14ac:dyDescent="0.25">
      <c r="Q351" s="355"/>
    </row>
    <row r="352" spans="17:17" x14ac:dyDescent="0.25">
      <c r="Q352" s="355"/>
    </row>
    <row r="353" spans="17:17" x14ac:dyDescent="0.25">
      <c r="Q353" s="355"/>
    </row>
    <row r="354" spans="17:17" x14ac:dyDescent="0.25">
      <c r="Q354" s="355"/>
    </row>
    <row r="355" spans="17:17" x14ac:dyDescent="0.25">
      <c r="Q355" s="355"/>
    </row>
    <row r="356" spans="17:17" x14ac:dyDescent="0.25">
      <c r="Q356" s="355"/>
    </row>
    <row r="357" spans="17:17" x14ac:dyDescent="0.25">
      <c r="Q357" s="355"/>
    </row>
    <row r="358" spans="17:17" x14ac:dyDescent="0.25">
      <c r="Q358" s="355"/>
    </row>
    <row r="359" spans="17:17" x14ac:dyDescent="0.25">
      <c r="Q359" s="355"/>
    </row>
    <row r="360" spans="17:17" x14ac:dyDescent="0.25">
      <c r="Q360" s="355"/>
    </row>
    <row r="361" spans="17:17" x14ac:dyDescent="0.25">
      <c r="Q361" s="355"/>
    </row>
    <row r="362" spans="17:17" x14ac:dyDescent="0.25">
      <c r="Q362" s="355"/>
    </row>
    <row r="363" spans="17:17" x14ac:dyDescent="0.25">
      <c r="Q363" s="355"/>
    </row>
    <row r="364" spans="17:17" x14ac:dyDescent="0.25">
      <c r="Q364" s="355"/>
    </row>
    <row r="365" spans="17:17" x14ac:dyDescent="0.25">
      <c r="Q365" s="355"/>
    </row>
    <row r="366" spans="17:17" x14ac:dyDescent="0.25">
      <c r="Q366" s="355"/>
    </row>
    <row r="367" spans="17:17" x14ac:dyDescent="0.25">
      <c r="Q367" s="355"/>
    </row>
    <row r="368" spans="17:17" x14ac:dyDescent="0.25">
      <c r="Q368" s="355"/>
    </row>
    <row r="369" spans="17:17" x14ac:dyDescent="0.25">
      <c r="Q369" s="355"/>
    </row>
    <row r="370" spans="17:17" x14ac:dyDescent="0.25">
      <c r="Q370" s="355"/>
    </row>
    <row r="371" spans="17:17" x14ac:dyDescent="0.25">
      <c r="Q371" s="355"/>
    </row>
    <row r="372" spans="17:17" x14ac:dyDescent="0.25">
      <c r="Q372" s="355"/>
    </row>
    <row r="373" spans="17:17" x14ac:dyDescent="0.25">
      <c r="Q373" s="355"/>
    </row>
    <row r="374" spans="17:17" x14ac:dyDescent="0.25">
      <c r="Q374" s="355"/>
    </row>
    <row r="375" spans="17:17" x14ac:dyDescent="0.25">
      <c r="Q375" s="355"/>
    </row>
    <row r="376" spans="17:17" x14ac:dyDescent="0.25">
      <c r="Q376" s="355"/>
    </row>
    <row r="377" spans="17:17" x14ac:dyDescent="0.25">
      <c r="Q377" s="355"/>
    </row>
    <row r="378" spans="17:17" x14ac:dyDescent="0.25">
      <c r="Q378" s="355"/>
    </row>
    <row r="379" spans="17:17" x14ac:dyDescent="0.25">
      <c r="Q379" s="355"/>
    </row>
    <row r="380" spans="17:17" x14ac:dyDescent="0.25">
      <c r="Q380" s="355"/>
    </row>
    <row r="381" spans="17:17" x14ac:dyDescent="0.25">
      <c r="Q381" s="355"/>
    </row>
    <row r="382" spans="17:17" x14ac:dyDescent="0.25">
      <c r="Q382" s="355"/>
    </row>
    <row r="383" spans="17:17" x14ac:dyDescent="0.25">
      <c r="Q383" s="355"/>
    </row>
    <row r="384" spans="17:17" x14ac:dyDescent="0.25">
      <c r="Q384" s="355"/>
    </row>
    <row r="385" spans="17:17" x14ac:dyDescent="0.25">
      <c r="Q385" s="355"/>
    </row>
    <row r="386" spans="17:17" x14ac:dyDescent="0.25">
      <c r="Q386" s="355"/>
    </row>
    <row r="387" spans="17:17" x14ac:dyDescent="0.25">
      <c r="Q387" s="355"/>
    </row>
    <row r="388" spans="17:17" x14ac:dyDescent="0.25">
      <c r="Q388" s="355"/>
    </row>
    <row r="389" spans="17:17" x14ac:dyDescent="0.25">
      <c r="Q389" s="355"/>
    </row>
    <row r="390" spans="17:17" x14ac:dyDescent="0.25">
      <c r="Q390" s="355"/>
    </row>
    <row r="391" spans="17:17" x14ac:dyDescent="0.25">
      <c r="Q391" s="355"/>
    </row>
    <row r="392" spans="17:17" x14ac:dyDescent="0.25">
      <c r="Q392" s="355"/>
    </row>
    <row r="393" spans="17:17" x14ac:dyDescent="0.25">
      <c r="Q393" s="355"/>
    </row>
    <row r="394" spans="17:17" x14ac:dyDescent="0.25">
      <c r="Q394" s="355"/>
    </row>
    <row r="395" spans="17:17" x14ac:dyDescent="0.25">
      <c r="Q395" s="355"/>
    </row>
    <row r="396" spans="17:17" x14ac:dyDescent="0.25">
      <c r="Q396" s="355"/>
    </row>
    <row r="397" spans="17:17" x14ac:dyDescent="0.25">
      <c r="Q397" s="355"/>
    </row>
    <row r="398" spans="17:17" x14ac:dyDescent="0.25">
      <c r="Q398" s="355"/>
    </row>
    <row r="399" spans="17:17" x14ac:dyDescent="0.25">
      <c r="Q399" s="355"/>
    </row>
    <row r="400" spans="17:17" x14ac:dyDescent="0.25">
      <c r="Q400" s="355"/>
    </row>
    <row r="401" spans="17:17" x14ac:dyDescent="0.25">
      <c r="Q401" s="355"/>
    </row>
    <row r="402" spans="17:17" x14ac:dyDescent="0.25">
      <c r="Q402" s="355"/>
    </row>
    <row r="403" spans="17:17" x14ac:dyDescent="0.25">
      <c r="Q403" s="355"/>
    </row>
    <row r="404" spans="17:17" x14ac:dyDescent="0.25">
      <c r="Q404" s="355"/>
    </row>
    <row r="405" spans="17:17" x14ac:dyDescent="0.25">
      <c r="Q405" s="355"/>
    </row>
    <row r="406" spans="17:17" x14ac:dyDescent="0.25">
      <c r="Q406" s="355"/>
    </row>
    <row r="407" spans="17:17" x14ac:dyDescent="0.25">
      <c r="Q407" s="355"/>
    </row>
    <row r="408" spans="17:17" x14ac:dyDescent="0.25">
      <c r="Q408" s="355"/>
    </row>
    <row r="409" spans="17:17" x14ac:dyDescent="0.25">
      <c r="Q409" s="355"/>
    </row>
    <row r="410" spans="17:17" x14ac:dyDescent="0.25">
      <c r="Q410" s="355"/>
    </row>
    <row r="411" spans="17:17" x14ac:dyDescent="0.25">
      <c r="Q411" s="355"/>
    </row>
    <row r="412" spans="17:17" x14ac:dyDescent="0.25">
      <c r="Q412" s="355"/>
    </row>
    <row r="413" spans="17:17" x14ac:dyDescent="0.25">
      <c r="Q413" s="355"/>
    </row>
    <row r="414" spans="17:17" x14ac:dyDescent="0.25">
      <c r="Q414" s="355"/>
    </row>
    <row r="415" spans="17:17" x14ac:dyDescent="0.25">
      <c r="Q415" s="355"/>
    </row>
    <row r="416" spans="17:17" x14ac:dyDescent="0.25">
      <c r="Q416" s="355"/>
    </row>
    <row r="417" spans="17:17" x14ac:dyDescent="0.25">
      <c r="Q417" s="355"/>
    </row>
    <row r="418" spans="17:17" x14ac:dyDescent="0.25">
      <c r="Q418" s="355"/>
    </row>
    <row r="419" spans="17:17" x14ac:dyDescent="0.25">
      <c r="Q419" s="355"/>
    </row>
    <row r="420" spans="17:17" x14ac:dyDescent="0.25">
      <c r="Q420" s="355"/>
    </row>
    <row r="421" spans="17:17" x14ac:dyDescent="0.25">
      <c r="Q421" s="355"/>
    </row>
    <row r="422" spans="17:17" x14ac:dyDescent="0.25">
      <c r="Q422" s="355"/>
    </row>
    <row r="423" spans="17:17" x14ac:dyDescent="0.25">
      <c r="Q423" s="355"/>
    </row>
    <row r="424" spans="17:17" x14ac:dyDescent="0.25">
      <c r="Q424" s="355"/>
    </row>
    <row r="425" spans="17:17" x14ac:dyDescent="0.25">
      <c r="Q425" s="355"/>
    </row>
    <row r="426" spans="17:17" x14ac:dyDescent="0.25">
      <c r="Q426" s="355"/>
    </row>
    <row r="427" spans="17:17" x14ac:dyDescent="0.25">
      <c r="Q427" s="355"/>
    </row>
    <row r="428" spans="17:17" x14ac:dyDescent="0.25">
      <c r="Q428" s="355"/>
    </row>
    <row r="429" spans="17:17" x14ac:dyDescent="0.25">
      <c r="Q429" s="355"/>
    </row>
    <row r="430" spans="17:17" x14ac:dyDescent="0.25">
      <c r="Q430" s="355"/>
    </row>
    <row r="431" spans="17:17" x14ac:dyDescent="0.25">
      <c r="Q431" s="355"/>
    </row>
    <row r="432" spans="17:17" x14ac:dyDescent="0.25">
      <c r="Q432" s="355"/>
    </row>
    <row r="433" spans="17:17" x14ac:dyDescent="0.25">
      <c r="Q433" s="355"/>
    </row>
  </sheetData>
  <sheetProtection password="B8FF" sheet="1" objects="1" scenarios="1" formatCells="0" formatColumns="0" formatRows="0" insertColumns="0" insertRows="0" deleteColumns="0" deleteRows="0"/>
  <mergeCells count="6">
    <mergeCell ref="C4:L4"/>
    <mergeCell ref="B2:M2"/>
    <mergeCell ref="C33:H33"/>
    <mergeCell ref="G19:H19"/>
    <mergeCell ref="G34:H34"/>
    <mergeCell ref="C18:H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D139"/>
  <sheetViews>
    <sheetView workbookViewId="0">
      <selection activeCell="C1" sqref="C1"/>
    </sheetView>
  </sheetViews>
  <sheetFormatPr defaultRowHeight="15" x14ac:dyDescent="0.25"/>
  <cols>
    <col min="1" max="1" width="4.28515625" customWidth="1"/>
    <col min="2" max="2" width="14.140625" customWidth="1"/>
    <col min="3" max="6" width="10.28515625" customWidth="1"/>
    <col min="7" max="7" width="12.28515625" customWidth="1"/>
    <col min="8" max="8" width="13.85546875" customWidth="1"/>
    <col min="9" max="12" width="10.28515625" customWidth="1"/>
  </cols>
  <sheetData>
    <row r="1" spans="2:18" s="355" customFormat="1" ht="17.25" customHeight="1" thickBot="1" x14ac:dyDescent="0.3">
      <c r="Q1" s="362"/>
    </row>
    <row r="2" spans="2:18" s="355" customFormat="1" ht="21.75" thickBot="1" x14ac:dyDescent="0.4">
      <c r="B2" s="935" t="s">
        <v>211</v>
      </c>
      <c r="C2" s="936"/>
      <c r="D2" s="936"/>
      <c r="E2" s="936"/>
      <c r="F2" s="936"/>
      <c r="G2" s="936"/>
      <c r="H2" s="936"/>
      <c r="I2" s="936"/>
      <c r="J2" s="936"/>
      <c r="K2" s="936"/>
      <c r="L2" s="936"/>
      <c r="M2" s="937"/>
      <c r="Q2" s="362"/>
    </row>
    <row r="3" spans="2:18" s="355" customFormat="1" ht="15" customHeight="1" thickBot="1" x14ac:dyDescent="0.4">
      <c r="B3" s="448"/>
      <c r="C3" s="353"/>
      <c r="D3" s="353"/>
      <c r="E3" s="353"/>
      <c r="F3" s="353"/>
      <c r="G3" s="444"/>
      <c r="H3" s="359"/>
      <c r="I3" s="359"/>
      <c r="J3" s="359"/>
      <c r="K3" s="359"/>
      <c r="L3" s="359"/>
      <c r="M3" s="449"/>
      <c r="Q3" s="362"/>
    </row>
    <row r="4" spans="2:18" s="355" customFormat="1" ht="18" customHeight="1" thickBot="1" x14ac:dyDescent="0.3">
      <c r="B4" s="450"/>
      <c r="C4" s="938" t="s">
        <v>153</v>
      </c>
      <c r="D4" s="939"/>
      <c r="E4" s="939"/>
      <c r="F4" s="939"/>
      <c r="G4" s="939"/>
      <c r="H4" s="939"/>
      <c r="I4" s="939"/>
      <c r="J4" s="939"/>
      <c r="K4" s="939"/>
      <c r="L4" s="940"/>
      <c r="M4" s="451"/>
      <c r="N4" s="437"/>
      <c r="R4" s="362"/>
    </row>
    <row r="5" spans="2:18" s="355" customFormat="1" ht="15" customHeight="1" thickBot="1" x14ac:dyDescent="0.3">
      <c r="B5" s="452"/>
      <c r="C5" s="445">
        <v>0</v>
      </c>
      <c r="D5" s="446">
        <v>1</v>
      </c>
      <c r="E5" s="446">
        <v>2</v>
      </c>
      <c r="F5" s="446">
        <v>3</v>
      </c>
      <c r="G5" s="446">
        <v>4</v>
      </c>
      <c r="H5" s="446">
        <v>5</v>
      </c>
      <c r="I5" s="446">
        <v>6</v>
      </c>
      <c r="J5" s="446">
        <v>7</v>
      </c>
      <c r="K5" s="446">
        <v>8</v>
      </c>
      <c r="L5" s="447">
        <v>9</v>
      </c>
      <c r="M5" s="349" t="s">
        <v>3</v>
      </c>
      <c r="N5" s="434" t="str">
        <f>IF(COUNTBLANK(N6:N15)=10,"","Warning:")</f>
        <v/>
      </c>
      <c r="O5" s="374"/>
      <c r="P5" s="374"/>
      <c r="Q5" s="374"/>
      <c r="R5" s="362"/>
    </row>
    <row r="6" spans="2:18" s="355" customFormat="1" ht="15" customHeight="1" x14ac:dyDescent="0.25">
      <c r="B6" s="453" t="s">
        <v>46</v>
      </c>
      <c r="C6" s="779">
        <f>IF(Solve_RRC!C6="",0,Solve_RRC!C6)</f>
        <v>0.156</v>
      </c>
      <c r="D6" s="780">
        <f>IF(Solve_RRC!D6="",0,Solve_RRC!D6)</f>
        <v>0.33300000000000002</v>
      </c>
      <c r="E6" s="780">
        <f>IF(Solve_RRC!E6="",0,Solve_RRC!E6)</f>
        <v>0.25900000000000001</v>
      </c>
      <c r="F6" s="780">
        <f>IF(Solve_RRC!F6="",0,Solve_RRC!F6)</f>
        <v>0.115</v>
      </c>
      <c r="G6" s="780">
        <f>IF(Solve_RRC!G6="",0,Solve_RRC!G6)</f>
        <v>9.8000000000000004E-2</v>
      </c>
      <c r="H6" s="780">
        <f>IF(Solve_RRC!H6="",0,Solve_RRC!H6)</f>
        <v>3.9E-2</v>
      </c>
      <c r="I6" s="780">
        <f>IF(Solve_RRC!I6="",0,Solve_RRC!I6)</f>
        <v>0</v>
      </c>
      <c r="J6" s="780">
        <f>IF(Solve_RRC!J6="",0,Solve_RRC!J6)</f>
        <v>0</v>
      </c>
      <c r="K6" s="780">
        <f>IF(Solve_RRC!K6="",0,Solve_RRC!K6)</f>
        <v>0</v>
      </c>
      <c r="L6" s="781">
        <f>IF(Solve_RRC!L6="",0,Solve_RRC!L6)</f>
        <v>0</v>
      </c>
      <c r="M6" s="438">
        <f>SUM(C6:L6)</f>
        <v>1</v>
      </c>
      <c r="N6" s="439" t="str">
        <f t="shared" ref="N6:N15" si="0">IF(M6=0,"",IF(ABS(M6-1)&lt;tol_Pr,"","**P(C|X) ≠ 1**"))</f>
        <v/>
      </c>
      <c r="O6" s="440"/>
      <c r="P6" s="440"/>
      <c r="Q6" s="440"/>
      <c r="R6" s="381">
        <f>COUNTIF(C6:L6,"&gt;0")</f>
        <v>6</v>
      </c>
    </row>
    <row r="7" spans="2:18" s="355" customFormat="1" ht="15" customHeight="1" x14ac:dyDescent="0.25">
      <c r="B7" s="453" t="s">
        <v>44</v>
      </c>
      <c r="C7" s="782">
        <f>IF(Solve_RRC!C7="",0,Solve_RRC!C7)</f>
        <v>0.20300000000000001</v>
      </c>
      <c r="D7" s="650">
        <f>IF(Solve_RRC!D7="",0,Solve_RRC!D7)</f>
        <v>0.34</v>
      </c>
      <c r="E7" s="650">
        <f>IF(Solve_RRC!E7="",0,Solve_RRC!E7)</f>
        <v>0.23499999999999999</v>
      </c>
      <c r="F7" s="650">
        <f>IF(Solve_RRC!F7="",0,Solve_RRC!F7)</f>
        <v>0.10299999999999999</v>
      </c>
      <c r="G7" s="650">
        <f>IF(Solve_RRC!G7="",0,Solve_RRC!G7)</f>
        <v>8.3000000000000004E-2</v>
      </c>
      <c r="H7" s="650">
        <f>IF(Solve_RRC!H7="",0,Solve_RRC!H7)</f>
        <v>3.5999999999999997E-2</v>
      </c>
      <c r="I7" s="650">
        <f>IF(Solve_RRC!I7="",0,Solve_RRC!I7)</f>
        <v>0</v>
      </c>
      <c r="J7" s="650">
        <f>IF(Solve_RRC!J7="",0,Solve_RRC!J7)</f>
        <v>0</v>
      </c>
      <c r="K7" s="650">
        <f>IF(Solve_RRC!K7="",0,Solve_RRC!K7)</f>
        <v>0</v>
      </c>
      <c r="L7" s="783">
        <f>IF(Solve_RRC!L7="",0,Solve_RRC!L7)</f>
        <v>0</v>
      </c>
      <c r="M7" s="441">
        <f t="shared" ref="M7:M15" si="1">SUM(C7:L7)</f>
        <v>1</v>
      </c>
      <c r="N7" s="442" t="str">
        <f t="shared" si="0"/>
        <v/>
      </c>
      <c r="O7" s="440"/>
      <c r="P7" s="361"/>
      <c r="Q7" s="361"/>
      <c r="R7" s="362">
        <f t="shared" ref="R7:R15" si="2">COUNTIF(C7:L7,"&gt;0")</f>
        <v>6</v>
      </c>
    </row>
    <row r="8" spans="2:18" s="355" customFormat="1" ht="15" customHeight="1" x14ac:dyDescent="0.25">
      <c r="B8" s="453" t="s">
        <v>45</v>
      </c>
      <c r="C8" s="782">
        <f>IF(Solve_RRC!C8="",0,Solve_RRC!C8)</f>
        <v>0.25600000000000001</v>
      </c>
      <c r="D8" s="650">
        <f>IF(Solve_RRC!D8="",0,Solve_RRC!D8)</f>
        <v>0.36699999999999999</v>
      </c>
      <c r="E8" s="650">
        <f>IF(Solve_RRC!E8="",0,Solve_RRC!E8)</f>
        <v>0.20200000000000001</v>
      </c>
      <c r="F8" s="650">
        <f>IF(Solve_RRC!F8="",0,Solve_RRC!F8)</f>
        <v>7.9000000000000001E-2</v>
      </c>
      <c r="G8" s="650">
        <f>IF(Solve_RRC!G8="",0,Solve_RRC!G8)</f>
        <v>6.7000000000000004E-2</v>
      </c>
      <c r="H8" s="650">
        <f>IF(Solve_RRC!H8="",0,Solve_RRC!H8)</f>
        <v>2.9000000000000001E-2</v>
      </c>
      <c r="I8" s="650">
        <f>IF(Solve_RRC!I8="",0,Solve_RRC!I8)</f>
        <v>0</v>
      </c>
      <c r="J8" s="650">
        <f>IF(Solve_RRC!J8="",0,Solve_RRC!J8)</f>
        <v>0</v>
      </c>
      <c r="K8" s="650">
        <f>IF(Solve_RRC!K8="",0,Solve_RRC!K8)</f>
        <v>0</v>
      </c>
      <c r="L8" s="783">
        <f>IF(Solve_RRC!L8="",0,Solve_RRC!L8)</f>
        <v>0</v>
      </c>
      <c r="M8" s="441">
        <f t="shared" si="1"/>
        <v>0.99999999999999989</v>
      </c>
      <c r="N8" s="442" t="str">
        <f t="shared" si="0"/>
        <v/>
      </c>
      <c r="O8" s="440"/>
      <c r="P8" s="361"/>
      <c r="Q8" s="361"/>
      <c r="R8" s="362">
        <f t="shared" si="2"/>
        <v>6</v>
      </c>
    </row>
    <row r="9" spans="2:18" s="355" customFormat="1" ht="15" customHeight="1" x14ac:dyDescent="0.25">
      <c r="B9" s="453" t="s">
        <v>47</v>
      </c>
      <c r="C9" s="782">
        <f>IF(Solve_RRC!C9="",0,Solve_RRC!C9)</f>
        <v>0.24</v>
      </c>
      <c r="D9" s="650">
        <f>IF(Solve_RRC!D9="",0,Solve_RRC!D9)</f>
        <v>0.35399999999999998</v>
      </c>
      <c r="E9" s="650">
        <f>IF(Solve_RRC!E9="",0,Solve_RRC!E9)</f>
        <v>0.20100000000000001</v>
      </c>
      <c r="F9" s="650">
        <f>IF(Solve_RRC!F9="",0,Solve_RRC!F9)</f>
        <v>8.7999999999999995E-2</v>
      </c>
      <c r="G9" s="650">
        <f>IF(Solve_RRC!G9="",0,Solve_RRC!G9)</f>
        <v>8.5999999999999993E-2</v>
      </c>
      <c r="H9" s="650">
        <f>IF(Solve_RRC!H9="",0,Solve_RRC!H9)</f>
        <v>3.1E-2</v>
      </c>
      <c r="I9" s="650">
        <f>IF(Solve_RRC!I9="",0,Solve_RRC!I9)</f>
        <v>0</v>
      </c>
      <c r="J9" s="650">
        <f>IF(Solve_RRC!J9="",0,Solve_RRC!J9)</f>
        <v>0</v>
      </c>
      <c r="K9" s="650">
        <f>IF(Solve_RRC!K9="",0,Solve_RRC!K9)</f>
        <v>0</v>
      </c>
      <c r="L9" s="783">
        <f>IF(Solve_RRC!L9="",0,Solve_RRC!L9)</f>
        <v>0</v>
      </c>
      <c r="M9" s="441">
        <f t="shared" si="1"/>
        <v>0.99999999999999989</v>
      </c>
      <c r="N9" s="442" t="str">
        <f t="shared" si="0"/>
        <v/>
      </c>
      <c r="O9" s="440"/>
      <c r="P9" s="361"/>
      <c r="Q9" s="361"/>
      <c r="R9" s="362">
        <f t="shared" si="2"/>
        <v>6</v>
      </c>
    </row>
    <row r="10" spans="2:18" s="355" customFormat="1" ht="15" customHeight="1" x14ac:dyDescent="0.25">
      <c r="B10" s="453" t="s">
        <v>48</v>
      </c>
      <c r="C10" s="782">
        <f>IF(Solve_RRC!C10="",0,Solve_RRC!C10)</f>
        <v>0.254</v>
      </c>
      <c r="D10" s="650">
        <f>IF(Solve_RRC!D10="",0,Solve_RRC!D10)</f>
        <v>0.35</v>
      </c>
      <c r="E10" s="650">
        <f>IF(Solve_RRC!E10="",0,Solve_RRC!E10)</f>
        <v>0.21</v>
      </c>
      <c r="F10" s="650">
        <f>IF(Solve_RRC!F10="",0,Solve_RRC!F10)</f>
        <v>8.6999999999999994E-2</v>
      </c>
      <c r="G10" s="650">
        <f>IF(Solve_RRC!G10="",0,Solve_RRC!G10)</f>
        <v>6.3E-2</v>
      </c>
      <c r="H10" s="650">
        <f>IF(Solve_RRC!H10="",0,Solve_RRC!H10)</f>
        <v>3.5999999999999997E-2</v>
      </c>
      <c r="I10" s="650">
        <f>IF(Solve_RRC!I10="",0,Solve_RRC!I10)</f>
        <v>0</v>
      </c>
      <c r="J10" s="650">
        <f>IF(Solve_RRC!J10="",0,Solve_RRC!J10)</f>
        <v>0</v>
      </c>
      <c r="K10" s="650">
        <f>IF(Solve_RRC!K10="",0,Solve_RRC!K10)</f>
        <v>0</v>
      </c>
      <c r="L10" s="783">
        <f>IF(Solve_RRC!L10="",0,Solve_RRC!L10)</f>
        <v>0</v>
      </c>
      <c r="M10" s="441">
        <f t="shared" si="1"/>
        <v>1</v>
      </c>
      <c r="N10" s="442" t="str">
        <f t="shared" si="0"/>
        <v/>
      </c>
      <c r="O10" s="440"/>
      <c r="P10" s="361"/>
      <c r="Q10" s="361"/>
      <c r="R10" s="362">
        <f t="shared" si="2"/>
        <v>6</v>
      </c>
    </row>
    <row r="11" spans="2:18" s="355" customFormat="1" ht="15" customHeight="1" x14ac:dyDescent="0.25">
      <c r="B11" s="453" t="s">
        <v>49</v>
      </c>
      <c r="C11" s="782">
        <f>IF(Solve_RRC!C11="",0,Solve_RRC!C11)</f>
        <v>0.23799999999999999</v>
      </c>
      <c r="D11" s="650">
        <f>IF(Solve_RRC!D11="",0,Solve_RRC!D11)</f>
        <v>0.35699999999999998</v>
      </c>
      <c r="E11" s="650">
        <f>IF(Solve_RRC!E11="",0,Solve_RRC!E11)</f>
        <v>0.191</v>
      </c>
      <c r="F11" s="650">
        <f>IF(Solve_RRC!F11="",0,Solve_RRC!F11)</f>
        <v>7.6999999999999999E-2</v>
      </c>
      <c r="G11" s="650">
        <f>IF(Solve_RRC!G11="",0,Solve_RRC!G11)</f>
        <v>8.7999999999999995E-2</v>
      </c>
      <c r="H11" s="650">
        <f>IF(Solve_RRC!H11="",0,Solve_RRC!H11)</f>
        <v>4.9000000000000002E-2</v>
      </c>
      <c r="I11" s="650">
        <f>IF(Solve_RRC!I11="",0,Solve_RRC!I11)</f>
        <v>0</v>
      </c>
      <c r="J11" s="650">
        <f>IF(Solve_RRC!J11="",0,Solve_RRC!J11)</f>
        <v>0</v>
      </c>
      <c r="K11" s="650">
        <f>IF(Solve_RRC!K11="",0,Solve_RRC!K11)</f>
        <v>0</v>
      </c>
      <c r="L11" s="783">
        <f>IF(Solve_RRC!L11="",0,Solve_RRC!L11)</f>
        <v>0</v>
      </c>
      <c r="M11" s="441">
        <f t="shared" si="1"/>
        <v>1</v>
      </c>
      <c r="N11" s="442" t="str">
        <f t="shared" si="0"/>
        <v/>
      </c>
      <c r="O11" s="440"/>
      <c r="P11" s="361"/>
      <c r="Q11" s="361"/>
      <c r="R11" s="362">
        <f t="shared" si="2"/>
        <v>6</v>
      </c>
    </row>
    <row r="12" spans="2:18" s="355" customFormat="1" ht="15" customHeight="1" x14ac:dyDescent="0.25">
      <c r="B12" s="453" t="s">
        <v>50</v>
      </c>
      <c r="C12" s="782">
        <f>IF(Solve_RRC!C12="",0,Solve_RRC!C12)</f>
        <v>0</v>
      </c>
      <c r="D12" s="650">
        <f>IF(Solve_RRC!D12="",0,Solve_RRC!D12)</f>
        <v>0</v>
      </c>
      <c r="E12" s="650">
        <f>IF(Solve_RRC!E12="",0,Solve_RRC!E12)</f>
        <v>0</v>
      </c>
      <c r="F12" s="650">
        <f>IF(Solve_RRC!F12="",0,Solve_RRC!F12)</f>
        <v>0</v>
      </c>
      <c r="G12" s="650">
        <f>IF(Solve_RRC!G12="",0,Solve_RRC!G12)</f>
        <v>0</v>
      </c>
      <c r="H12" s="650">
        <f>IF(Solve_RRC!H12="",0,Solve_RRC!H12)</f>
        <v>0</v>
      </c>
      <c r="I12" s="650">
        <f>IF(Solve_RRC!I12="",0,Solve_RRC!I12)</f>
        <v>0</v>
      </c>
      <c r="J12" s="650">
        <f>IF(Solve_RRC!J12="",0,Solve_RRC!J12)</f>
        <v>0</v>
      </c>
      <c r="K12" s="650">
        <f>IF(Solve_RRC!K12="",0,Solve_RRC!K12)</f>
        <v>0</v>
      </c>
      <c r="L12" s="783">
        <f>IF(Solve_RRC!L12="",0,Solve_RRC!L12)</f>
        <v>0</v>
      </c>
      <c r="M12" s="441">
        <f t="shared" si="1"/>
        <v>0</v>
      </c>
      <c r="N12" s="442" t="str">
        <f t="shared" si="0"/>
        <v/>
      </c>
      <c r="O12" s="440"/>
      <c r="P12" s="361"/>
      <c r="Q12" s="361"/>
      <c r="R12" s="362">
        <f t="shared" si="2"/>
        <v>0</v>
      </c>
    </row>
    <row r="13" spans="2:18" s="355" customFormat="1" ht="15" customHeight="1" x14ac:dyDescent="0.25">
      <c r="B13" s="453" t="s">
        <v>51</v>
      </c>
      <c r="C13" s="782">
        <f>IF(Solve_RRC!C13="",0,Solve_RRC!C13)</f>
        <v>0</v>
      </c>
      <c r="D13" s="650">
        <f>IF(Solve_RRC!D13="",0,Solve_RRC!D13)</f>
        <v>0</v>
      </c>
      <c r="E13" s="650">
        <f>IF(Solve_RRC!E13="",0,Solve_RRC!E13)</f>
        <v>0</v>
      </c>
      <c r="F13" s="650">
        <f>IF(Solve_RRC!F13="",0,Solve_RRC!F13)</f>
        <v>0</v>
      </c>
      <c r="G13" s="650">
        <f>IF(Solve_RRC!G13="",0,Solve_RRC!G13)</f>
        <v>0</v>
      </c>
      <c r="H13" s="650">
        <f>IF(Solve_RRC!H13="",0,Solve_RRC!H13)</f>
        <v>0</v>
      </c>
      <c r="I13" s="650">
        <f>IF(Solve_RRC!I13="",0,Solve_RRC!I13)</f>
        <v>0</v>
      </c>
      <c r="J13" s="650">
        <f>IF(Solve_RRC!J13="",0,Solve_RRC!J13)</f>
        <v>0</v>
      </c>
      <c r="K13" s="650">
        <f>IF(Solve_RRC!K13="",0,Solve_RRC!K13)</f>
        <v>0</v>
      </c>
      <c r="L13" s="783">
        <f>IF(Solve_RRC!L13="",0,Solve_RRC!L13)</f>
        <v>0</v>
      </c>
      <c r="M13" s="441">
        <f t="shared" si="1"/>
        <v>0</v>
      </c>
      <c r="N13" s="442" t="str">
        <f t="shared" si="0"/>
        <v/>
      </c>
      <c r="O13" s="361"/>
      <c r="P13" s="361"/>
      <c r="Q13" s="361"/>
      <c r="R13" s="362">
        <f t="shared" si="2"/>
        <v>0</v>
      </c>
    </row>
    <row r="14" spans="2:18" s="355" customFormat="1" ht="15" customHeight="1" x14ac:dyDescent="0.25">
      <c r="B14" s="453" t="s">
        <v>52</v>
      </c>
      <c r="C14" s="782">
        <f>IF(Solve_RRC!C14="",0,Solve_RRC!C14)</f>
        <v>0</v>
      </c>
      <c r="D14" s="650">
        <f>IF(Solve_RRC!D14="",0,Solve_RRC!D14)</f>
        <v>0</v>
      </c>
      <c r="E14" s="650">
        <f>IF(Solve_RRC!E14="",0,Solve_RRC!E14)</f>
        <v>0</v>
      </c>
      <c r="F14" s="650">
        <f>IF(Solve_RRC!F14="",0,Solve_RRC!F14)</f>
        <v>0</v>
      </c>
      <c r="G14" s="650">
        <f>IF(Solve_RRC!G14="",0,Solve_RRC!G14)</f>
        <v>0</v>
      </c>
      <c r="H14" s="650">
        <f>IF(Solve_RRC!H14="",0,Solve_RRC!H14)</f>
        <v>0</v>
      </c>
      <c r="I14" s="650">
        <f>IF(Solve_RRC!I14="",0,Solve_RRC!I14)</f>
        <v>0</v>
      </c>
      <c r="J14" s="650">
        <f>IF(Solve_RRC!J14="",0,Solve_RRC!J14)</f>
        <v>0</v>
      </c>
      <c r="K14" s="650">
        <f>IF(Solve_RRC!K14="",0,Solve_RRC!K14)</f>
        <v>0</v>
      </c>
      <c r="L14" s="783">
        <f>IF(Solve_RRC!L14="",0,Solve_RRC!L14)</f>
        <v>0</v>
      </c>
      <c r="M14" s="441">
        <f t="shared" si="1"/>
        <v>0</v>
      </c>
      <c r="N14" s="442" t="str">
        <f t="shared" si="0"/>
        <v/>
      </c>
      <c r="O14" s="361"/>
      <c r="P14" s="361"/>
      <c r="Q14" s="361"/>
      <c r="R14" s="362">
        <f t="shared" si="2"/>
        <v>0</v>
      </c>
    </row>
    <row r="15" spans="2:18" s="355" customFormat="1" ht="15" customHeight="1" thickBot="1" x14ac:dyDescent="0.3">
      <c r="B15" s="453" t="s">
        <v>53</v>
      </c>
      <c r="C15" s="784">
        <f>IF(Solve_RRC!C15="",0,Solve_RRC!C15)</f>
        <v>0</v>
      </c>
      <c r="D15" s="785">
        <f>IF(Solve_RRC!D15="",0,Solve_RRC!D15)</f>
        <v>0</v>
      </c>
      <c r="E15" s="785">
        <f>IF(Solve_RRC!E15="",0,Solve_RRC!E15)</f>
        <v>0</v>
      </c>
      <c r="F15" s="785">
        <f>IF(Solve_RRC!F15="",0,Solve_RRC!F15)</f>
        <v>0</v>
      </c>
      <c r="G15" s="785">
        <f>IF(Solve_RRC!G15="",0,Solve_RRC!G15)</f>
        <v>0</v>
      </c>
      <c r="H15" s="785">
        <f>IF(Solve_RRC!H15="",0,Solve_RRC!H15)</f>
        <v>0</v>
      </c>
      <c r="I15" s="785">
        <f>IF(Solve_RRC!I15="",0,Solve_RRC!I15)</f>
        <v>0</v>
      </c>
      <c r="J15" s="785">
        <f>IF(Solve_RRC!J15="",0,Solve_RRC!J15)</f>
        <v>0</v>
      </c>
      <c r="K15" s="785">
        <f>IF(Solve_RRC!K15="",0,Solve_RRC!K15)</f>
        <v>0</v>
      </c>
      <c r="L15" s="786">
        <f>IF(Solve_RRC!L15="",0,Solve_RRC!L15)</f>
        <v>0</v>
      </c>
      <c r="M15" s="443">
        <f t="shared" si="1"/>
        <v>0</v>
      </c>
      <c r="N15" s="442" t="str">
        <f t="shared" si="0"/>
        <v/>
      </c>
      <c r="O15" s="361"/>
      <c r="P15" s="361"/>
      <c r="Q15" s="361"/>
      <c r="R15" s="362">
        <f t="shared" si="2"/>
        <v>0</v>
      </c>
    </row>
    <row r="16" spans="2:18" s="355" customFormat="1" ht="15.75" x14ac:dyDescent="0.25">
      <c r="B16" s="452"/>
      <c r="C16" s="359"/>
      <c r="D16" s="359"/>
      <c r="E16" s="359"/>
      <c r="F16" s="359"/>
      <c r="G16" s="359"/>
      <c r="H16" s="359"/>
      <c r="I16" s="359"/>
      <c r="J16" s="359"/>
      <c r="K16" s="359"/>
      <c r="L16" s="359"/>
      <c r="M16" s="454"/>
      <c r="N16" s="361"/>
      <c r="R16" s="362"/>
    </row>
    <row r="17" spans="2:30" s="355" customFormat="1" ht="16.5" thickBot="1" x14ac:dyDescent="0.3">
      <c r="B17" s="452"/>
      <c r="C17" s="359"/>
      <c r="D17" s="359"/>
      <c r="E17" s="359"/>
      <c r="F17" s="359"/>
      <c r="G17" s="359"/>
      <c r="H17" s="359"/>
      <c r="I17" s="359"/>
      <c r="J17" s="359"/>
      <c r="K17" s="359"/>
      <c r="L17" s="359"/>
      <c r="M17" s="454"/>
      <c r="N17" s="361"/>
      <c r="Q17" s="362"/>
    </row>
    <row r="18" spans="2:30" s="355" customFormat="1" ht="19.5" thickBot="1" x14ac:dyDescent="0.35">
      <c r="B18" s="452"/>
      <c r="C18" s="941" t="s">
        <v>180</v>
      </c>
      <c r="D18" s="942"/>
      <c r="E18" s="942"/>
      <c r="F18" s="942"/>
      <c r="G18" s="942"/>
      <c r="H18" s="943"/>
      <c r="I18" s="359"/>
      <c r="J18" s="359"/>
      <c r="K18" s="359"/>
      <c r="L18" s="359"/>
      <c r="M18" s="454"/>
      <c r="N18" s="361"/>
    </row>
    <row r="19" spans="2:30" s="355" customFormat="1" ht="20.25" customHeight="1" thickBot="1" x14ac:dyDescent="0.35">
      <c r="B19" s="349" t="s">
        <v>176</v>
      </c>
      <c r="C19" s="349" t="s">
        <v>15</v>
      </c>
      <c r="D19" s="349" t="s">
        <v>21</v>
      </c>
      <c r="E19" s="363"/>
      <c r="F19" s="627"/>
      <c r="G19" s="944" t="str">
        <f>IF(SUM(R6:R15)=0,"",IF(S60=10,IF(L48=T64,"Result: Exact Solution","Result: No unique soln"),"Result: No unique soln"))</f>
        <v>Result: Exact Solution</v>
      </c>
      <c r="H19" s="945"/>
      <c r="I19" s="350"/>
      <c r="J19" s="359"/>
      <c r="K19" s="359"/>
      <c r="L19" s="359"/>
      <c r="M19" s="454"/>
      <c r="N19" s="361"/>
      <c r="Q19" s="359"/>
      <c r="R19" s="359"/>
      <c r="S19" s="359"/>
      <c r="T19" s="359"/>
      <c r="U19" s="359"/>
      <c r="V19" s="359"/>
      <c r="W19" s="359"/>
      <c r="X19" s="360"/>
      <c r="Z19" s="362"/>
    </row>
    <row r="20" spans="2:30" s="355" customFormat="1" ht="15" customHeight="1" thickBot="1" x14ac:dyDescent="0.3">
      <c r="B20" s="349">
        <v>0</v>
      </c>
      <c r="C20" s="624">
        <f>IF(Solve_RRC!C20="","",Solve_RRC!C20)</f>
        <v>1</v>
      </c>
      <c r="D20" s="624">
        <f>IF(Solve_RRC!D20="","",Solve_RRC!D20)</f>
        <v>1</v>
      </c>
      <c r="E20" s="364" t="s">
        <v>170</v>
      </c>
      <c r="F20" s="628" t="s">
        <v>74</v>
      </c>
      <c r="G20" s="629" t="s">
        <v>68</v>
      </c>
      <c r="H20" s="630" t="s">
        <v>179</v>
      </c>
      <c r="I20" s="455" t="str">
        <f>IF(COUNTBLANK(I21:I29)=9,"","Warning:")</f>
        <v/>
      </c>
      <c r="J20" s="359"/>
      <c r="K20" s="359"/>
      <c r="L20" s="359"/>
      <c r="M20" s="454"/>
      <c r="N20" s="361"/>
      <c r="Q20" s="435"/>
      <c r="R20" s="359"/>
      <c r="S20" s="359"/>
      <c r="T20" s="359"/>
      <c r="U20" s="436"/>
      <c r="V20" s="359"/>
      <c r="W20" s="359"/>
      <c r="X20" s="360"/>
      <c r="Z20" s="362"/>
    </row>
    <row r="21" spans="2:30" s="355" customFormat="1" ht="15" customHeight="1" x14ac:dyDescent="0.25">
      <c r="B21" s="365">
        <v>1</v>
      </c>
      <c r="C21" s="625">
        <f>IF(Solve_RRC!C21="","",Solve_RRC!C21)</f>
        <v>1.26</v>
      </c>
      <c r="D21" s="625">
        <f>IF(Solve_RRC!D21="","",Solve_RRC!D21)</f>
        <v>1.2188522727272726</v>
      </c>
      <c r="E21" s="366">
        <f t="shared" ref="E21:E26" si="3">IF(C21="","",D36)</f>
        <v>-4.1733532850394231E-2</v>
      </c>
      <c r="F21" s="631">
        <f t="shared" ref="F21:F26" si="4">IF(C21="","",E36)</f>
        <v>-4.1733532850390193E-2</v>
      </c>
      <c r="G21" s="632">
        <f>IF(C48=1,F36,"")</f>
        <v>0.8400000000011687</v>
      </c>
      <c r="H21" s="633">
        <v>1</v>
      </c>
      <c r="I21" s="352" t="str">
        <f t="shared" ref="I21:I29" si="5">IF(G21&gt;=0,"","** Invalid value **")</f>
        <v/>
      </c>
      <c r="J21" s="359"/>
      <c r="K21" s="359"/>
      <c r="L21" s="359"/>
      <c r="M21" s="454"/>
      <c r="N21" s="361"/>
      <c r="Q21" s="435"/>
      <c r="R21" s="359"/>
      <c r="S21" s="359"/>
      <c r="T21" s="359"/>
      <c r="U21" s="436"/>
      <c r="V21" s="359"/>
      <c r="W21" s="359"/>
      <c r="X21" s="360"/>
      <c r="Z21" s="362"/>
    </row>
    <row r="22" spans="2:30" s="355" customFormat="1" ht="15" customHeight="1" x14ac:dyDescent="0.25">
      <c r="B22" s="368">
        <v>2</v>
      </c>
      <c r="C22" s="625">
        <f>IF(Solve_RRC!C22="","",Solve_RRC!C22)</f>
        <v>1.59</v>
      </c>
      <c r="D22" s="625">
        <f>IF(Solve_RRC!D22="","",Solve_RRC!D22)</f>
        <v>1.4715834843385969</v>
      </c>
      <c r="E22" s="369">
        <f t="shared" si="3"/>
        <v>-8.7446871591189315E-2</v>
      </c>
      <c r="F22" s="634">
        <f t="shared" si="4"/>
        <v>-8.744687159119513E-2</v>
      </c>
      <c r="G22" s="635">
        <f>IF(D48=1,F37,"")</f>
        <v>0.65999999999981895</v>
      </c>
      <c r="H22" s="636">
        <v>2</v>
      </c>
      <c r="I22" s="352" t="str">
        <f>IF(G22&gt;=0,"","** Invalid value **")</f>
        <v/>
      </c>
      <c r="J22" s="359"/>
      <c r="K22" s="359"/>
      <c r="L22" s="359"/>
      <c r="M22" s="454"/>
      <c r="N22" s="361"/>
      <c r="Q22" s="435"/>
      <c r="R22" s="359"/>
      <c r="S22" s="359"/>
      <c r="T22" s="359"/>
      <c r="U22" s="436"/>
      <c r="V22" s="359"/>
      <c r="W22" s="359"/>
      <c r="X22" s="360"/>
      <c r="Z22" s="362"/>
    </row>
    <row r="23" spans="2:30" s="355" customFormat="1" ht="15" customHeight="1" x14ac:dyDescent="0.25">
      <c r="B23" s="368">
        <v>3</v>
      </c>
      <c r="C23" s="625">
        <f>IF(Solve_RRC!C23="","",Solve_RRC!C23)</f>
        <v>1.67</v>
      </c>
      <c r="D23" s="625">
        <f>IF(Solve_RRC!D23="","",Solve_RRC!D23)</f>
        <v>1.5759781977511484</v>
      </c>
      <c r="E23" s="369">
        <f t="shared" si="3"/>
        <v>-7.4693144631219524E-2</v>
      </c>
      <c r="F23" s="634">
        <f t="shared" si="4"/>
        <v>-7.4693144631219788E-2</v>
      </c>
      <c r="G23" s="635">
        <f>IF(E48=1,F38,"")</f>
        <v>0.50000000000048317</v>
      </c>
      <c r="H23" s="636">
        <v>3</v>
      </c>
      <c r="I23" s="352" t="str">
        <f t="shared" si="5"/>
        <v/>
      </c>
      <c r="J23" s="359"/>
      <c r="K23" s="359"/>
      <c r="L23" s="359"/>
      <c r="M23" s="454"/>
      <c r="N23" s="361"/>
      <c r="Q23" s="435"/>
      <c r="R23" s="359"/>
      <c r="S23" s="359"/>
      <c r="T23" s="359"/>
      <c r="U23" s="436"/>
      <c r="V23" s="359"/>
      <c r="W23" s="359"/>
      <c r="X23" s="360"/>
      <c r="Z23" s="362"/>
    </row>
    <row r="24" spans="2:30" s="355" customFormat="1" ht="15" customHeight="1" x14ac:dyDescent="0.25">
      <c r="B24" s="368">
        <v>4</v>
      </c>
      <c r="C24" s="625">
        <f>IF(Solve_RRC!C24="","",Solve_RRC!C24)</f>
        <v>1.98</v>
      </c>
      <c r="D24" s="625">
        <f>IF(Solve_RRC!D24="","",Solve_RRC!D24)</f>
        <v>1.8480861506330766</v>
      </c>
      <c r="E24" s="369">
        <f t="shared" si="3"/>
        <v>-8.6864934411104891E-2</v>
      </c>
      <c r="F24" s="634">
        <f t="shared" si="4"/>
        <v>-8.6864934411098355E-2</v>
      </c>
      <c r="G24" s="635">
        <f>IF(F48=1,F39,"")</f>
        <v>0.39999999999982094</v>
      </c>
      <c r="H24" s="636">
        <v>4</v>
      </c>
      <c r="I24" s="352" t="str">
        <f t="shared" si="5"/>
        <v/>
      </c>
      <c r="J24" s="359"/>
      <c r="K24" s="359"/>
      <c r="L24" s="359"/>
      <c r="M24" s="454"/>
      <c r="N24" s="361"/>
      <c r="Q24" s="435"/>
      <c r="R24" s="359"/>
      <c r="S24" s="359"/>
      <c r="T24" s="359"/>
      <c r="U24" s="436"/>
      <c r="V24" s="359"/>
      <c r="W24" s="359"/>
      <c r="X24" s="360"/>
      <c r="Z24" s="362"/>
    </row>
    <row r="25" spans="2:30" s="355" customFormat="1" ht="15" customHeight="1" x14ac:dyDescent="0.25">
      <c r="B25" s="368">
        <v>5</v>
      </c>
      <c r="C25" s="625">
        <f>IF(Solve_RRC!C25="","",Solve_RRC!C25)</f>
        <v>2.1800000000000002</v>
      </c>
      <c r="D25" s="625">
        <f>IF(Solve_RRC!D25="","",Solve_RRC!D25)</f>
        <v>2.0719764999867087</v>
      </c>
      <c r="E25" s="369">
        <f t="shared" si="3"/>
        <v>-7.3866864319073064E-2</v>
      </c>
      <c r="F25" s="634">
        <f t="shared" si="4"/>
        <v>-7.3866864319078129E-2</v>
      </c>
      <c r="G25" s="635">
        <f>IF(G48=1,F40,"")</f>
        <v>0.30000000000012861</v>
      </c>
      <c r="H25" s="636">
        <v>5</v>
      </c>
      <c r="I25" s="352" t="str">
        <f t="shared" si="5"/>
        <v/>
      </c>
      <c r="J25" s="359"/>
      <c r="K25" s="359"/>
      <c r="L25" s="359"/>
      <c r="M25" s="454"/>
      <c r="N25" s="361"/>
      <c r="Q25" s="435"/>
      <c r="R25" s="359"/>
      <c r="S25" s="359"/>
      <c r="T25" s="359"/>
      <c r="U25" s="436"/>
      <c r="V25" s="359"/>
      <c r="W25" s="359"/>
      <c r="X25" s="360"/>
      <c r="Z25" s="362"/>
    </row>
    <row r="26" spans="2:30" s="355" customFormat="1" ht="15" customHeight="1" x14ac:dyDescent="0.25">
      <c r="B26" s="368">
        <v>6</v>
      </c>
      <c r="C26" s="625" t="str">
        <f>IF(Solve_RRC!C26="","",Solve_RRC!C26)</f>
        <v/>
      </c>
      <c r="D26" s="625" t="str">
        <f>IF(Solve_RRC!D26="","",Solve_RRC!D26)</f>
        <v/>
      </c>
      <c r="E26" s="369" t="str">
        <f t="shared" si="3"/>
        <v/>
      </c>
      <c r="F26" s="634" t="str">
        <f t="shared" si="4"/>
        <v/>
      </c>
      <c r="G26" s="635" t="str">
        <f>IF(H48=1,F41,"")</f>
        <v/>
      </c>
      <c r="H26" s="636">
        <v>6</v>
      </c>
      <c r="I26" s="352" t="str">
        <f t="shared" si="5"/>
        <v/>
      </c>
      <c r="J26" s="359"/>
      <c r="K26" s="359"/>
      <c r="L26" s="359"/>
      <c r="M26" s="454"/>
      <c r="N26" s="361"/>
      <c r="Q26" s="435"/>
      <c r="R26" s="359"/>
      <c r="S26" s="359"/>
      <c r="T26" s="359"/>
      <c r="U26" s="436"/>
      <c r="V26" s="359"/>
      <c r="W26" s="359"/>
      <c r="X26" s="360"/>
      <c r="Z26" s="362"/>
    </row>
    <row r="27" spans="2:30" s="355" customFormat="1" ht="15" customHeight="1" x14ac:dyDescent="0.25">
      <c r="B27" s="368">
        <v>7</v>
      </c>
      <c r="C27" s="625" t="str">
        <f>IF(Solve_RRC!C27="","",Solve_RRC!C27)</f>
        <v/>
      </c>
      <c r="D27" s="625" t="str">
        <f>IF(Solve_RRC!D27="","",Solve_RRC!D27)</f>
        <v/>
      </c>
      <c r="E27" s="369" t="str">
        <f t="shared" ref="E27:E29" si="6">IF(C27="","",D42)</f>
        <v/>
      </c>
      <c r="F27" s="634" t="str">
        <f t="shared" ref="F27:F29" si="7">IF(C27="","",E42)</f>
        <v/>
      </c>
      <c r="G27" s="635" t="str">
        <f>IF(I48=1,F42,"")</f>
        <v/>
      </c>
      <c r="H27" s="636">
        <v>7</v>
      </c>
      <c r="I27" s="352" t="str">
        <f t="shared" si="5"/>
        <v/>
      </c>
      <c r="J27" s="359"/>
      <c r="K27" s="359"/>
      <c r="L27" s="359"/>
      <c r="M27" s="454"/>
      <c r="N27" s="361"/>
      <c r="Q27" s="435"/>
      <c r="R27" s="359"/>
      <c r="S27" s="359"/>
      <c r="T27" s="359"/>
      <c r="U27" s="359"/>
      <c r="V27" s="359"/>
      <c r="W27" s="359"/>
      <c r="X27" s="360"/>
      <c r="Z27" s="362"/>
    </row>
    <row r="28" spans="2:30" s="355" customFormat="1" ht="15" customHeight="1" x14ac:dyDescent="0.25">
      <c r="B28" s="368">
        <v>8</v>
      </c>
      <c r="C28" s="625" t="str">
        <f>IF(Solve_RRC!C28="","",Solve_RRC!C28)</f>
        <v/>
      </c>
      <c r="D28" s="625" t="str">
        <f>IF(Solve_RRC!D28="","",Solve_RRC!D28)</f>
        <v/>
      </c>
      <c r="E28" s="369" t="str">
        <f t="shared" si="6"/>
        <v/>
      </c>
      <c r="F28" s="634" t="str">
        <f t="shared" si="7"/>
        <v/>
      </c>
      <c r="G28" s="635" t="str">
        <f>IF(J48=1,F43,"")</f>
        <v/>
      </c>
      <c r="H28" s="636">
        <v>8</v>
      </c>
      <c r="I28" s="352" t="str">
        <f t="shared" si="5"/>
        <v/>
      </c>
      <c r="J28" s="359"/>
      <c r="K28" s="359"/>
      <c r="L28" s="359"/>
      <c r="M28" s="454"/>
      <c r="N28" s="361"/>
      <c r="Q28" s="435"/>
      <c r="R28" s="359"/>
      <c r="S28" s="359"/>
      <c r="T28" s="359"/>
      <c r="U28" s="359"/>
      <c r="V28" s="359"/>
      <c r="W28" s="359"/>
      <c r="X28" s="360"/>
      <c r="Z28" s="362"/>
    </row>
    <row r="29" spans="2:30" s="355" customFormat="1" ht="15" customHeight="1" thickBot="1" x14ac:dyDescent="0.3">
      <c r="B29" s="371">
        <v>9</v>
      </c>
      <c r="C29" s="626" t="str">
        <f>IF(Solve_RRC!C29="","",Solve_RRC!C29)</f>
        <v/>
      </c>
      <c r="D29" s="626" t="str">
        <f>IF(Solve_RRC!D29="","",Solve_RRC!D29)</f>
        <v/>
      </c>
      <c r="E29" s="372" t="str">
        <f t="shared" si="6"/>
        <v/>
      </c>
      <c r="F29" s="637" t="str">
        <f t="shared" si="7"/>
        <v/>
      </c>
      <c r="G29" s="638" t="str">
        <f>IF(K48=1,F44,"")</f>
        <v/>
      </c>
      <c r="H29" s="639">
        <v>9</v>
      </c>
      <c r="I29" s="352" t="str">
        <f t="shared" si="5"/>
        <v/>
      </c>
      <c r="J29" s="359"/>
      <c r="K29" s="359"/>
      <c r="L29" s="359"/>
      <c r="M29" s="454"/>
      <c r="N29" s="361"/>
      <c r="Q29" s="435"/>
      <c r="R29" s="359"/>
      <c r="S29" s="359"/>
      <c r="T29" s="359"/>
      <c r="U29" s="359"/>
      <c r="V29" s="359"/>
      <c r="W29" s="359"/>
      <c r="X29" s="360"/>
      <c r="Z29" s="362"/>
    </row>
    <row r="30" spans="2:30" s="355" customFormat="1" ht="15.75" x14ac:dyDescent="0.25">
      <c r="B30" s="450"/>
      <c r="C30" s="352" t="str">
        <f>IF(C34&lt;C33,"Error: # RRs &lt; # P(C|X=i)",IF(C34&gt;C33,"Note: # RR_Obs &gt; # P(C | X=i)",""))</f>
        <v/>
      </c>
      <c r="D30" s="356"/>
      <c r="E30" s="357"/>
      <c r="F30" s="357"/>
      <c r="G30" s="358" t="str">
        <f>IF(C34&lt;C33,"",IF(G19="Result: No Unique soln",CONCATENATE(G36,G39,G37),IF(G19="Result: Inf # of Solns",G38,"")))</f>
        <v/>
      </c>
      <c r="H30" s="359"/>
      <c r="I30" s="359"/>
      <c r="J30" s="359"/>
      <c r="K30" s="359"/>
      <c r="L30" s="359"/>
      <c r="M30" s="454"/>
      <c r="N30" s="361"/>
      <c r="Q30" s="359"/>
      <c r="R30" s="359"/>
      <c r="S30" s="359"/>
      <c r="T30" s="359"/>
      <c r="U30" s="359"/>
      <c r="V30" s="359"/>
      <c r="W30" s="359"/>
      <c r="X30" s="360"/>
      <c r="Z30" s="362"/>
    </row>
    <row r="31" spans="2:30" s="355" customFormat="1" ht="15.75" x14ac:dyDescent="0.25">
      <c r="B31" s="450"/>
      <c r="C31" s="352"/>
      <c r="D31" s="356"/>
      <c r="E31" s="357"/>
      <c r="F31" s="357"/>
      <c r="G31" s="358"/>
      <c r="H31" s="359"/>
      <c r="I31" s="359"/>
      <c r="J31" s="359"/>
      <c r="K31" s="359"/>
      <c r="L31" s="359"/>
      <c r="M31" s="454"/>
      <c r="N31" s="361"/>
      <c r="Q31" s="359"/>
      <c r="R31" s="359"/>
      <c r="S31" s="359"/>
      <c r="T31" s="359"/>
      <c r="U31" s="359"/>
      <c r="V31" s="359"/>
      <c r="W31" s="359"/>
      <c r="X31" s="360"/>
      <c r="Z31" s="362"/>
    </row>
    <row r="32" spans="2:30" s="355" customFormat="1" x14ac:dyDescent="0.25">
      <c r="B32" s="375"/>
      <c r="C32" s="375"/>
      <c r="D32" s="375"/>
      <c r="E32" s="375"/>
      <c r="F32" s="375"/>
      <c r="G32" s="375"/>
      <c r="H32" s="376"/>
      <c r="I32" s="375"/>
      <c r="J32" s="376"/>
      <c r="K32" s="375"/>
      <c r="L32" s="375"/>
      <c r="M32" s="375"/>
      <c r="N32" s="375"/>
      <c r="O32" s="375"/>
      <c r="P32" s="375"/>
      <c r="Q32" s="375"/>
      <c r="R32" s="375"/>
      <c r="S32" s="375"/>
      <c r="T32" s="375"/>
      <c r="U32" s="375"/>
      <c r="V32" s="375"/>
      <c r="W32" s="375"/>
      <c r="X32" s="375"/>
      <c r="Y32" s="375"/>
      <c r="Z32" s="375"/>
      <c r="AA32" s="375"/>
      <c r="AB32" s="375"/>
      <c r="AC32" s="375"/>
      <c r="AD32" s="375"/>
    </row>
    <row r="33" spans="2:28" s="355" customFormat="1" x14ac:dyDescent="0.25">
      <c r="B33" s="377" t="s">
        <v>207</v>
      </c>
      <c r="C33" s="378">
        <f>COUNTIF(M6:M15,"=1")</f>
        <v>6</v>
      </c>
      <c r="D33" s="351"/>
      <c r="F33" s="379"/>
      <c r="G33" s="379"/>
      <c r="H33" s="380"/>
      <c r="I33" s="377"/>
      <c r="J33" s="378"/>
      <c r="N33" s="351"/>
      <c r="O33" s="359"/>
      <c r="P33" s="359"/>
      <c r="Q33" s="359"/>
      <c r="R33" s="359"/>
      <c r="S33" s="359"/>
      <c r="T33" s="359"/>
      <c r="U33" s="359"/>
      <c r="V33" s="359"/>
      <c r="W33" s="359"/>
      <c r="X33" s="360"/>
      <c r="Z33" s="362"/>
    </row>
    <row r="34" spans="2:28" s="355" customFormat="1" x14ac:dyDescent="0.25">
      <c r="B34" s="377" t="s">
        <v>208</v>
      </c>
      <c r="C34" s="378">
        <f>MIN(10-COUNTBLANK(C20:C29),10-COUNTBLANK(D20:D29))</f>
        <v>6</v>
      </c>
      <c r="D34" s="378"/>
      <c r="E34" s="379"/>
      <c r="F34" s="379"/>
      <c r="G34" s="379"/>
      <c r="I34" s="377"/>
      <c r="J34" s="381"/>
      <c r="K34" s="381"/>
      <c r="L34" s="359"/>
      <c r="O34" s="359"/>
      <c r="P34" s="359"/>
      <c r="Q34" s="359"/>
      <c r="R34" s="359"/>
      <c r="S34" s="359"/>
      <c r="T34" s="359"/>
      <c r="U34" s="359"/>
      <c r="V34" s="359"/>
      <c r="W34" s="359"/>
      <c r="X34" s="359"/>
      <c r="Y34" s="360"/>
      <c r="AA34" s="362"/>
    </row>
    <row r="35" spans="2:28" s="355" customFormat="1" x14ac:dyDescent="0.25">
      <c r="C35" s="382" t="s">
        <v>182</v>
      </c>
      <c r="D35" s="382" t="s">
        <v>170</v>
      </c>
      <c r="E35" s="382" t="s">
        <v>74</v>
      </c>
      <c r="F35" s="382" t="s">
        <v>68</v>
      </c>
      <c r="I35" s="359"/>
      <c r="J35" s="359"/>
      <c r="L35" s="359"/>
      <c r="M35" s="359"/>
      <c r="N35" s="359"/>
      <c r="O35" s="359"/>
      <c r="P35" s="359"/>
      <c r="Q35" s="359"/>
      <c r="R35" s="359"/>
      <c r="S35" s="359"/>
      <c r="T35" s="359"/>
      <c r="U35" s="359"/>
      <c r="V35" s="359"/>
      <c r="W35" s="359"/>
      <c r="X35" s="359"/>
      <c r="Y35" s="360"/>
      <c r="AA35" s="362"/>
    </row>
    <row r="36" spans="2:28" s="355" customFormat="1" x14ac:dyDescent="0.25">
      <c r="B36" s="582"/>
      <c r="C36" s="565">
        <f t="shared" ref="C36:C44" si="8">ROUND(D36-E36,Rnd_solve)</f>
        <v>0</v>
      </c>
      <c r="D36" s="383">
        <f t="array" ref="D36:D44">MMULT(C51:K59,F36:F44)</f>
        <v>-4.1733532850394231E-2</v>
      </c>
      <c r="E36" s="384">
        <f t="shared" ref="E36" si="9">B51</f>
        <v>-4.1733532850390193E-2</v>
      </c>
      <c r="F36" s="384">
        <f t="array" ref="F36:F44">MMULT(C63:K71,B51:B59)</f>
        <v>0.8400000000011687</v>
      </c>
      <c r="G36" s="385" t="s">
        <v>209</v>
      </c>
      <c r="I36" s="359"/>
      <c r="J36" s="359"/>
      <c r="M36" s="359"/>
      <c r="N36" s="359"/>
      <c r="O36" s="359"/>
      <c r="P36" s="359"/>
      <c r="Q36" s="359"/>
      <c r="R36" s="359"/>
      <c r="S36" s="359"/>
      <c r="T36" s="359"/>
      <c r="U36" s="359"/>
      <c r="V36" s="359"/>
      <c r="W36" s="359"/>
      <c r="X36" s="359"/>
      <c r="Y36" s="359"/>
      <c r="Z36" s="360"/>
      <c r="AB36" s="362"/>
    </row>
    <row r="37" spans="2:28" s="355" customFormat="1" x14ac:dyDescent="0.25">
      <c r="B37" s="386"/>
      <c r="C37" s="566">
        <f t="shared" si="8"/>
        <v>0</v>
      </c>
      <c r="D37" s="387">
        <v>-8.7446871591189315E-2</v>
      </c>
      <c r="E37" s="388">
        <f>B52</f>
        <v>-8.744687159119513E-2</v>
      </c>
      <c r="F37" s="388">
        <v>0.65999999999981895</v>
      </c>
      <c r="G37" s="355" t="s">
        <v>183</v>
      </c>
      <c r="I37" s="359" t="s">
        <v>155</v>
      </c>
      <c r="J37" s="359"/>
      <c r="K37" s="389"/>
      <c r="M37" s="359"/>
      <c r="N37" s="359"/>
      <c r="O37" s="359"/>
      <c r="P37" s="359"/>
      <c r="Q37" s="359"/>
      <c r="R37" s="359"/>
      <c r="S37" s="359"/>
      <c r="T37" s="359"/>
      <c r="U37" s="359"/>
      <c r="V37" s="359"/>
      <c r="W37" s="359"/>
      <c r="X37" s="359"/>
      <c r="Y37" s="359"/>
      <c r="Z37" s="360"/>
      <c r="AB37" s="362"/>
    </row>
    <row r="38" spans="2:28" s="355" customFormat="1" x14ac:dyDescent="0.25">
      <c r="C38" s="566">
        <f t="shared" si="8"/>
        <v>0</v>
      </c>
      <c r="D38" s="387">
        <v>-7.4693144631219524E-2</v>
      </c>
      <c r="E38" s="388">
        <f t="shared" ref="E38:E44" si="10">B53</f>
        <v>-7.4693144631219788E-2</v>
      </c>
      <c r="F38" s="388">
        <v>0.50000000000048317</v>
      </c>
      <c r="G38" s="390" t="str">
        <f>IF(G40&lt;L48,"** Check: I &lt; J **","")</f>
        <v/>
      </c>
      <c r="I38" s="359"/>
      <c r="J38" s="359"/>
      <c r="K38" s="389"/>
      <c r="M38" s="359"/>
      <c r="N38" s="359"/>
      <c r="O38" s="359"/>
      <c r="P38" s="359"/>
      <c r="Q38" s="359"/>
      <c r="R38" s="359"/>
      <c r="S38" s="359"/>
      <c r="T38" s="359"/>
      <c r="U38" s="359"/>
      <c r="V38" s="359"/>
      <c r="W38" s="359"/>
      <c r="X38" s="359"/>
      <c r="Y38" s="359"/>
      <c r="Z38" s="360"/>
      <c r="AB38" s="362"/>
    </row>
    <row r="39" spans="2:28" s="355" customFormat="1" x14ac:dyDescent="0.25">
      <c r="C39" s="566">
        <f t="shared" si="8"/>
        <v>0</v>
      </c>
      <c r="D39" s="387">
        <v>-8.6864934411104891E-2</v>
      </c>
      <c r="E39" s="388">
        <f t="shared" si="10"/>
        <v>-8.6864934411098355E-2</v>
      </c>
      <c r="F39" s="388">
        <v>0.39999999999982094</v>
      </c>
      <c r="G39" s="391">
        <f>COUNTIF(C36:C44,"=0")</f>
        <v>9</v>
      </c>
      <c r="I39" s="359"/>
      <c r="J39" s="359"/>
      <c r="M39" s="359"/>
      <c r="N39" s="359"/>
      <c r="O39" s="359"/>
      <c r="P39" s="359"/>
      <c r="Q39" s="359"/>
      <c r="R39" s="359"/>
      <c r="S39" s="359"/>
      <c r="T39" s="359"/>
      <c r="U39" s="359"/>
      <c r="V39" s="359"/>
      <c r="W39" s="359"/>
      <c r="X39" s="359"/>
      <c r="Y39" s="359"/>
      <c r="Z39" s="360"/>
      <c r="AB39" s="362"/>
    </row>
    <row r="40" spans="2:28" s="355" customFormat="1" x14ac:dyDescent="0.25">
      <c r="C40" s="566">
        <f t="shared" si="8"/>
        <v>0</v>
      </c>
      <c r="D40" s="387">
        <v>-7.3866864319073064E-2</v>
      </c>
      <c r="E40" s="388">
        <f t="shared" si="10"/>
        <v>-7.3866864319078129E-2</v>
      </c>
      <c r="F40" s="388">
        <v>0.30000000000012861</v>
      </c>
      <c r="G40" s="392">
        <f>COUNTIF(R6:R15,"&gt;0") - 1</f>
        <v>5</v>
      </c>
      <c r="I40" s="359"/>
      <c r="J40" s="359"/>
      <c r="L40" s="359"/>
      <c r="M40" s="359"/>
      <c r="N40" s="359"/>
      <c r="O40" s="359"/>
      <c r="P40" s="359"/>
      <c r="Q40" s="359"/>
      <c r="R40" s="359"/>
      <c r="S40" s="359"/>
      <c r="T40" s="359"/>
      <c r="U40" s="359"/>
      <c r="V40" s="359"/>
      <c r="W40" s="359"/>
      <c r="X40" s="359"/>
      <c r="Y40" s="360"/>
      <c r="AA40" s="362"/>
    </row>
    <row r="41" spans="2:28" s="355" customFormat="1" x14ac:dyDescent="0.25">
      <c r="C41" s="566">
        <f t="shared" si="8"/>
        <v>0</v>
      </c>
      <c r="D41" s="387">
        <v>0</v>
      </c>
      <c r="E41" s="388">
        <f t="shared" si="10"/>
        <v>0</v>
      </c>
      <c r="F41" s="388">
        <v>0</v>
      </c>
      <c r="I41" s="359"/>
      <c r="J41" s="359"/>
      <c r="L41" s="359"/>
      <c r="M41" s="359"/>
      <c r="N41" s="359"/>
      <c r="O41" s="359"/>
      <c r="P41" s="359"/>
      <c r="Q41" s="359"/>
      <c r="R41" s="359"/>
      <c r="S41" s="359"/>
      <c r="T41" s="359"/>
      <c r="U41" s="359"/>
      <c r="V41" s="359"/>
      <c r="W41" s="359"/>
      <c r="X41" s="359"/>
      <c r="Y41" s="360"/>
      <c r="AA41" s="362"/>
    </row>
    <row r="42" spans="2:28" s="355" customFormat="1" x14ac:dyDescent="0.25">
      <c r="C42" s="566">
        <f t="shared" si="8"/>
        <v>0</v>
      </c>
      <c r="D42" s="387">
        <v>0</v>
      </c>
      <c r="E42" s="388">
        <f t="shared" si="10"/>
        <v>0</v>
      </c>
      <c r="F42" s="388">
        <v>0</v>
      </c>
      <c r="I42" s="359"/>
      <c r="J42" s="359"/>
      <c r="L42" s="359"/>
      <c r="O42" s="359"/>
      <c r="P42" s="359"/>
      <c r="Q42" s="359"/>
      <c r="R42" s="359"/>
      <c r="S42" s="359"/>
      <c r="T42" s="359"/>
      <c r="U42" s="359"/>
      <c r="V42" s="359"/>
      <c r="W42" s="359"/>
      <c r="X42" s="359"/>
      <c r="Y42" s="360"/>
      <c r="AA42" s="362"/>
    </row>
    <row r="43" spans="2:28" s="355" customFormat="1" x14ac:dyDescent="0.25">
      <c r="C43" s="566">
        <f t="shared" si="8"/>
        <v>0</v>
      </c>
      <c r="D43" s="387">
        <v>0</v>
      </c>
      <c r="E43" s="388">
        <f t="shared" si="10"/>
        <v>0</v>
      </c>
      <c r="F43" s="388">
        <v>0</v>
      </c>
      <c r="I43" s="359"/>
      <c r="J43" s="359"/>
      <c r="L43" s="359"/>
      <c r="O43" s="359"/>
      <c r="P43" s="359"/>
      <c r="Q43" s="359"/>
      <c r="R43" s="554"/>
      <c r="S43" s="359"/>
      <c r="T43" s="359"/>
      <c r="U43" s="359"/>
      <c r="V43" s="359"/>
      <c r="W43" s="359"/>
      <c r="X43" s="359"/>
      <c r="Y43" s="360"/>
      <c r="AA43" s="362"/>
    </row>
    <row r="44" spans="2:28" s="355" customFormat="1" x14ac:dyDescent="0.25">
      <c r="C44" s="567">
        <f t="shared" si="8"/>
        <v>0</v>
      </c>
      <c r="D44" s="393">
        <v>0</v>
      </c>
      <c r="E44" s="394">
        <f t="shared" si="10"/>
        <v>0</v>
      </c>
      <c r="F44" s="394">
        <v>0</v>
      </c>
      <c r="I44" s="359"/>
      <c r="J44" s="359"/>
      <c r="L44" s="359"/>
      <c r="O44" s="359"/>
      <c r="P44" s="359"/>
      <c r="Q44" s="359"/>
      <c r="R44" s="359"/>
      <c r="S44" s="359"/>
      <c r="T44" s="359"/>
      <c r="U44" s="359"/>
      <c r="V44" s="359"/>
      <c r="W44" s="359"/>
      <c r="X44" s="359"/>
      <c r="Y44" s="360"/>
      <c r="AA44" s="362"/>
    </row>
    <row r="45" spans="2:28" s="355" customFormat="1" x14ac:dyDescent="0.25">
      <c r="I45" s="359"/>
      <c r="J45" s="359"/>
      <c r="L45" s="359"/>
      <c r="O45" s="359"/>
      <c r="P45" s="359"/>
      <c r="Q45" s="359"/>
      <c r="R45" s="359"/>
      <c r="S45" s="359"/>
      <c r="T45" s="359"/>
      <c r="U45" s="359"/>
      <c r="V45" s="359"/>
      <c r="W45" s="359"/>
      <c r="X45" s="359"/>
      <c r="Y45" s="360"/>
      <c r="AA45" s="362"/>
    </row>
    <row r="46" spans="2:28" s="355" customFormat="1" x14ac:dyDescent="0.25">
      <c r="B46" s="382" t="s">
        <v>68</v>
      </c>
      <c r="Q46" s="362"/>
    </row>
    <row r="47" spans="2:28" s="355" customFormat="1" x14ac:dyDescent="0.25">
      <c r="B47" s="395">
        <v>1</v>
      </c>
      <c r="C47" s="396">
        <f>IF(F36=0,0,F36)</f>
        <v>0.8400000000011687</v>
      </c>
      <c r="D47" s="397">
        <f>IF(F37=0,0,F37)</f>
        <v>0.65999999999981895</v>
      </c>
      <c r="E47" s="397">
        <f>IF(F38=0,0,F38)</f>
        <v>0.50000000000048317</v>
      </c>
      <c r="F47" s="397">
        <f>IF(F39=0,0,F39)</f>
        <v>0.39999999999982094</v>
      </c>
      <c r="G47" s="397">
        <f>IF(F40=0,0,F40)</f>
        <v>0.30000000000012861</v>
      </c>
      <c r="H47" s="397">
        <f>IF(F41=0,0,F41)</f>
        <v>0</v>
      </c>
      <c r="I47" s="397">
        <f>IF(F42=0,0,F42)</f>
        <v>0</v>
      </c>
      <c r="J47" s="397">
        <f>IF(F43=0,0,F43)</f>
        <v>0</v>
      </c>
      <c r="K47" s="398">
        <f>IF(F44=0,0,F44)</f>
        <v>0</v>
      </c>
      <c r="Q47" s="362"/>
    </row>
    <row r="48" spans="2:28" s="355" customFormat="1" x14ac:dyDescent="0.25">
      <c r="B48" s="395">
        <f t="shared" ref="B48:K48" si="11">ROUND(SUM(C6:C15)&gt;0,1)</f>
        <v>1</v>
      </c>
      <c r="C48" s="399">
        <f t="shared" si="11"/>
        <v>1</v>
      </c>
      <c r="D48" s="400">
        <f t="shared" si="11"/>
        <v>1</v>
      </c>
      <c r="E48" s="400">
        <f t="shared" si="11"/>
        <v>1</v>
      </c>
      <c r="F48" s="400">
        <f t="shared" si="11"/>
        <v>1</v>
      </c>
      <c r="G48" s="400">
        <f t="shared" si="11"/>
        <v>1</v>
      </c>
      <c r="H48" s="400">
        <f t="shared" si="11"/>
        <v>0</v>
      </c>
      <c r="I48" s="400">
        <f t="shared" si="11"/>
        <v>0</v>
      </c>
      <c r="J48" s="400">
        <f t="shared" si="11"/>
        <v>0</v>
      </c>
      <c r="K48" s="401">
        <f t="shared" si="11"/>
        <v>0</v>
      </c>
      <c r="L48" s="378">
        <f>SUM(C48:K48)</f>
        <v>5</v>
      </c>
      <c r="Q48" s="362"/>
      <c r="R48" s="934" t="s">
        <v>73</v>
      </c>
      <c r="S48" s="934"/>
      <c r="T48" s="402" t="s">
        <v>174</v>
      </c>
    </row>
    <row r="49" spans="2:29" s="355" customFormat="1" ht="15.75" thickBot="1" x14ac:dyDescent="0.3">
      <c r="O49" s="362" t="s">
        <v>15</v>
      </c>
      <c r="P49" s="362" t="s">
        <v>21</v>
      </c>
      <c r="Q49" s="362"/>
      <c r="R49" s="382" t="s">
        <v>134</v>
      </c>
      <c r="S49" s="382" t="s">
        <v>21</v>
      </c>
      <c r="T49" s="382">
        <v>0</v>
      </c>
      <c r="U49" s="382">
        <v>1</v>
      </c>
      <c r="V49" s="382">
        <v>2</v>
      </c>
      <c r="W49" s="382">
        <v>3</v>
      </c>
      <c r="X49" s="382">
        <v>4</v>
      </c>
      <c r="Y49" s="382">
        <v>5</v>
      </c>
      <c r="Z49" s="382">
        <v>6</v>
      </c>
      <c r="AA49" s="382">
        <v>7</v>
      </c>
      <c r="AB49" s="382">
        <v>8</v>
      </c>
      <c r="AC49" s="382">
        <v>9</v>
      </c>
    </row>
    <row r="50" spans="2:29" s="355" customFormat="1" ht="15.75" thickBot="1" x14ac:dyDescent="0.3">
      <c r="B50" s="362" t="s">
        <v>74</v>
      </c>
      <c r="C50" s="362" t="s">
        <v>133</v>
      </c>
      <c r="D50" s="362"/>
      <c r="E50" s="362"/>
      <c r="F50" s="362"/>
      <c r="G50" s="362"/>
      <c r="H50" s="362"/>
      <c r="I50" s="362"/>
      <c r="J50" s="362"/>
      <c r="K50" s="362"/>
      <c r="L50" s="362" t="s">
        <v>20</v>
      </c>
      <c r="O50" s="403">
        <f t="shared" ref="O50:O59" si="12">IF(C20="",0,C20)</f>
        <v>1</v>
      </c>
      <c r="P50" s="403">
        <f t="shared" ref="P50:P59" si="13">IF(D20="",0,D20)</f>
        <v>1</v>
      </c>
      <c r="Q50" s="404">
        <v>0</v>
      </c>
      <c r="R50" s="396">
        <f t="array" ref="R50">MMULT($B$47:$K$47,TRANSPOSE(T50:AC50))</f>
        <v>0.7150600000003855</v>
      </c>
      <c r="S50" s="406">
        <f>IF(R50=0,1,ROUND((O50/P50)/(R50/$R$50),Rnd_solve))</f>
        <v>1</v>
      </c>
      <c r="T50" s="405">
        <f t="shared" ref="T50:T59" si="14">IF(C6="",0,C6)</f>
        <v>0.156</v>
      </c>
      <c r="U50" s="407">
        <f t="shared" ref="U50:U59" si="15">IF(D6="",0,D6)</f>
        <v>0.33300000000000002</v>
      </c>
      <c r="V50" s="407">
        <f t="shared" ref="V50:V59" si="16">IF(E6="",0,E6)</f>
        <v>0.25900000000000001</v>
      </c>
      <c r="W50" s="407">
        <f t="shared" ref="W50:W59" si="17">IF(F6="",0,F6)</f>
        <v>0.115</v>
      </c>
      <c r="X50" s="407">
        <f t="shared" ref="X50:X59" si="18">IF(G6="",0,G6)</f>
        <v>9.8000000000000004E-2</v>
      </c>
      <c r="Y50" s="407">
        <f t="shared" ref="Y50:Y59" si="19">IF(H6="",0,H6)</f>
        <v>3.9E-2</v>
      </c>
      <c r="Z50" s="407">
        <f t="shared" ref="Z50:Z59" si="20">IF(I6="",0,I6)</f>
        <v>0</v>
      </c>
      <c r="AA50" s="407">
        <f t="shared" ref="AA50:AA59" si="21">IF(J6="",0,J6)</f>
        <v>0</v>
      </c>
      <c r="AB50" s="407">
        <f t="shared" ref="AB50:AB59" si="22">IF(K6="",0,K6)</f>
        <v>0</v>
      </c>
      <c r="AC50" s="408">
        <f t="shared" ref="AC50:AC59" si="23">IF(L6="",0,L6)</f>
        <v>0</v>
      </c>
    </row>
    <row r="51" spans="2:29" s="355" customFormat="1" x14ac:dyDescent="0.25">
      <c r="B51" s="409">
        <f>IF($P51=0,0,$O51/$P51*C$6-C7)</f>
        <v>-4.1733532850390193E-2</v>
      </c>
      <c r="C51" s="410">
        <f>IF($P51=0,0,D7-$O51/$P51*D$6)</f>
        <v>-4.2418818001286884E-3</v>
      </c>
      <c r="D51" s="410">
        <f>IF($P51=0,0,E7-$O51/$P51*E$6)</f>
        <v>-3.2743685844544568E-2</v>
      </c>
      <c r="E51" s="410">
        <f t="shared" ref="E51:K51" si="24">IF($P51=0,0,F7-$O51/$P51*F$6)</f>
        <v>-1.5882331552597009E-2</v>
      </c>
      <c r="F51" s="410">
        <f t="shared" si="24"/>
        <v>-1.8308421670908737E-2</v>
      </c>
      <c r="G51" s="410">
        <f t="shared" si="24"/>
        <v>-4.316616787402458E-3</v>
      </c>
      <c r="H51" s="410">
        <f t="shared" si="24"/>
        <v>0</v>
      </c>
      <c r="I51" s="410">
        <f t="shared" si="24"/>
        <v>0</v>
      </c>
      <c r="J51" s="410">
        <f t="shared" si="24"/>
        <v>0</v>
      </c>
      <c r="K51" s="411">
        <f t="shared" si="24"/>
        <v>0</v>
      </c>
      <c r="L51" s="409">
        <f>MDETERM(C51:C51)</f>
        <v>-4.2418818001286884E-3</v>
      </c>
      <c r="M51" s="432"/>
      <c r="N51" s="412"/>
      <c r="O51" s="403">
        <f t="shared" si="12"/>
        <v>1.26</v>
      </c>
      <c r="P51" s="403">
        <f t="shared" si="13"/>
        <v>1.2188522727272726</v>
      </c>
      <c r="Q51" s="367">
        <v>1</v>
      </c>
      <c r="R51" s="403">
        <f t="array" ref="R51">MMULT($B$47:$K$47,TRANSPOSE(T51:AC51 ))</f>
        <v>0.73920000000039421</v>
      </c>
      <c r="S51" s="414">
        <f t="shared" ref="S51:S59" si="25">IF(R51=0,1,ROUND((O51/P51)/(R51/$R$50),Rnd_solve))</f>
        <v>1</v>
      </c>
      <c r="T51" s="415">
        <f t="shared" si="14"/>
        <v>0.20300000000000001</v>
      </c>
      <c r="U51" s="416">
        <f t="shared" si="15"/>
        <v>0.34</v>
      </c>
      <c r="V51" s="416">
        <f t="shared" si="16"/>
        <v>0.23499999999999999</v>
      </c>
      <c r="W51" s="416">
        <f t="shared" si="17"/>
        <v>0.10299999999999999</v>
      </c>
      <c r="X51" s="416">
        <f t="shared" si="18"/>
        <v>8.3000000000000004E-2</v>
      </c>
      <c r="Y51" s="416">
        <f t="shared" si="19"/>
        <v>3.5999999999999997E-2</v>
      </c>
      <c r="Z51" s="416">
        <f t="shared" si="20"/>
        <v>0</v>
      </c>
      <c r="AA51" s="416">
        <f t="shared" si="21"/>
        <v>0</v>
      </c>
      <c r="AB51" s="416">
        <f t="shared" si="22"/>
        <v>0</v>
      </c>
      <c r="AC51" s="417">
        <f t="shared" si="23"/>
        <v>0</v>
      </c>
    </row>
    <row r="52" spans="2:29" s="355" customFormat="1" x14ac:dyDescent="0.25">
      <c r="B52" s="418">
        <f t="shared" ref="B52:B58" si="26">IF($P52=0,0,$O52/$P52*C$6-C8)</f>
        <v>-8.744687159119513E-2</v>
      </c>
      <c r="C52" s="419">
        <f t="shared" ref="C52:K59" si="27">IF($P52=0,0,D8-$O52/$P52*D$6)</f>
        <v>7.2038989735126457E-3</v>
      </c>
      <c r="D52" s="419">
        <f t="shared" si="27"/>
        <v>-7.7841411909490121E-2</v>
      </c>
      <c r="E52" s="419">
        <f t="shared" si="27"/>
        <v>-4.5253908762901029E-2</v>
      </c>
      <c r="F52" s="419">
        <f t="shared" si="27"/>
        <v>-3.8885939641428696E-2</v>
      </c>
      <c r="G52" s="419">
        <f t="shared" si="27"/>
        <v>-1.3138282102201217E-2</v>
      </c>
      <c r="H52" s="419">
        <f t="shared" si="27"/>
        <v>0</v>
      </c>
      <c r="I52" s="419">
        <f t="shared" si="27"/>
        <v>0</v>
      </c>
      <c r="J52" s="419">
        <f t="shared" si="27"/>
        <v>0</v>
      </c>
      <c r="K52" s="420">
        <f t="shared" si="27"/>
        <v>0</v>
      </c>
      <c r="L52" s="418">
        <f>MDETERM(C51:D52)</f>
        <v>5.6607627331972188E-4</v>
      </c>
      <c r="N52" s="412"/>
      <c r="O52" s="403">
        <f t="shared" si="12"/>
        <v>1.59</v>
      </c>
      <c r="P52" s="403">
        <f t="shared" si="13"/>
        <v>1.4715834843385969</v>
      </c>
      <c r="Q52" s="370">
        <v>2</v>
      </c>
      <c r="R52" s="403">
        <f t="array" ref="R52">MMULT($B$47:$K$47,TRANSPOSE(T52:AC52 ))</f>
        <v>0.77260000000042228</v>
      </c>
      <c r="S52" s="414">
        <f>IF(R52=0,1,ROUND((O52/P52)/(R52/$R$50),Rnd_solve))</f>
        <v>1</v>
      </c>
      <c r="T52" s="415">
        <f t="shared" si="14"/>
        <v>0.25600000000000001</v>
      </c>
      <c r="U52" s="416">
        <f t="shared" si="15"/>
        <v>0.36699999999999999</v>
      </c>
      <c r="V52" s="416">
        <f t="shared" si="16"/>
        <v>0.20200000000000001</v>
      </c>
      <c r="W52" s="416">
        <f t="shared" si="17"/>
        <v>7.9000000000000001E-2</v>
      </c>
      <c r="X52" s="416">
        <f t="shared" si="18"/>
        <v>6.7000000000000004E-2</v>
      </c>
      <c r="Y52" s="416">
        <f t="shared" si="19"/>
        <v>2.9000000000000001E-2</v>
      </c>
      <c r="Z52" s="416">
        <f t="shared" si="20"/>
        <v>0</v>
      </c>
      <c r="AA52" s="416">
        <f t="shared" si="21"/>
        <v>0</v>
      </c>
      <c r="AB52" s="416">
        <f t="shared" si="22"/>
        <v>0</v>
      </c>
      <c r="AC52" s="417">
        <f t="shared" si="23"/>
        <v>0</v>
      </c>
    </row>
    <row r="53" spans="2:29" s="355" customFormat="1" x14ac:dyDescent="0.25">
      <c r="B53" s="418">
        <f t="shared" si="26"/>
        <v>-7.4693144631219788E-2</v>
      </c>
      <c r="C53" s="419">
        <f t="shared" si="27"/>
        <v>1.1334433474114447E-3</v>
      </c>
      <c r="D53" s="419">
        <f t="shared" si="27"/>
        <v>-7.3451766285346609E-2</v>
      </c>
      <c r="E53" s="419">
        <f t="shared" si="27"/>
        <v>-3.3860822868011065E-2</v>
      </c>
      <c r="F53" s="419">
        <f t="shared" si="27"/>
        <v>-1.7846614270131164E-2</v>
      </c>
      <c r="G53" s="419">
        <f t="shared" si="27"/>
        <v>-1.0326713842195051E-2</v>
      </c>
      <c r="H53" s="419">
        <f t="shared" si="27"/>
        <v>0</v>
      </c>
      <c r="I53" s="419">
        <f t="shared" si="27"/>
        <v>0</v>
      </c>
      <c r="J53" s="419">
        <f t="shared" si="27"/>
        <v>0</v>
      </c>
      <c r="K53" s="420">
        <f t="shared" si="27"/>
        <v>0</v>
      </c>
      <c r="L53" s="418">
        <f>MDETERM(C51:E53)</f>
        <v>3.6143164209996468E-6</v>
      </c>
      <c r="N53" s="412"/>
      <c r="O53" s="403">
        <f t="shared" si="12"/>
        <v>1.67</v>
      </c>
      <c r="P53" s="403">
        <f t="shared" si="13"/>
        <v>1.5759781977511484</v>
      </c>
      <c r="Q53" s="370">
        <v>3</v>
      </c>
      <c r="R53" s="403">
        <f t="array" ref="R53">MMULT($B$47:$K$47,TRANSPOSE(T53:AC53 ))</f>
        <v>0.7577200000004084</v>
      </c>
      <c r="S53" s="414">
        <f t="shared" si="25"/>
        <v>1</v>
      </c>
      <c r="T53" s="415">
        <f t="shared" si="14"/>
        <v>0.24</v>
      </c>
      <c r="U53" s="416">
        <f t="shared" si="15"/>
        <v>0.35399999999999998</v>
      </c>
      <c r="V53" s="416">
        <f t="shared" si="16"/>
        <v>0.20100000000000001</v>
      </c>
      <c r="W53" s="416">
        <f t="shared" si="17"/>
        <v>8.7999999999999995E-2</v>
      </c>
      <c r="X53" s="416">
        <f t="shared" si="18"/>
        <v>8.5999999999999993E-2</v>
      </c>
      <c r="Y53" s="416">
        <f t="shared" si="19"/>
        <v>3.1E-2</v>
      </c>
      <c r="Z53" s="416">
        <f t="shared" si="20"/>
        <v>0</v>
      </c>
      <c r="AA53" s="416">
        <f t="shared" si="21"/>
        <v>0</v>
      </c>
      <c r="AB53" s="416">
        <f t="shared" si="22"/>
        <v>0</v>
      </c>
      <c r="AC53" s="417">
        <f t="shared" si="23"/>
        <v>0</v>
      </c>
    </row>
    <row r="54" spans="2:29" s="355" customFormat="1" x14ac:dyDescent="0.25">
      <c r="B54" s="418">
        <f t="shared" si="26"/>
        <v>-8.6864934411098355E-2</v>
      </c>
      <c r="C54" s="419">
        <f t="shared" si="27"/>
        <v>-6.7690823147708579E-3</v>
      </c>
      <c r="D54" s="419">
        <f t="shared" si="27"/>
        <v>-6.7487064022599547E-2</v>
      </c>
      <c r="E54" s="419">
        <f t="shared" si="27"/>
        <v>-3.6208541940536479E-2</v>
      </c>
      <c r="F54" s="419">
        <f t="shared" si="27"/>
        <v>-4.1995105305848462E-2</v>
      </c>
      <c r="G54" s="419">
        <f t="shared" si="27"/>
        <v>-5.783766397225415E-3</v>
      </c>
      <c r="H54" s="419">
        <f t="shared" si="27"/>
        <v>0</v>
      </c>
      <c r="I54" s="419">
        <f t="shared" si="27"/>
        <v>0</v>
      </c>
      <c r="J54" s="419">
        <f t="shared" si="27"/>
        <v>0</v>
      </c>
      <c r="K54" s="420">
        <f t="shared" si="27"/>
        <v>0</v>
      </c>
      <c r="L54" s="418">
        <f>MDETERM(C51:F54)</f>
        <v>1.2871216541269076E-8</v>
      </c>
      <c r="O54" s="403">
        <f t="shared" si="12"/>
        <v>1.98</v>
      </c>
      <c r="P54" s="403">
        <f t="shared" si="13"/>
        <v>1.8480861506330766</v>
      </c>
      <c r="Q54" s="370">
        <v>4</v>
      </c>
      <c r="R54" s="403">
        <f t="array" ref="R54">MMULT($B$47:$K$47,TRANSPOSE(T54:AC54 ))</f>
        <v>0.76610000000040634</v>
      </c>
      <c r="S54" s="414">
        <f t="shared" si="25"/>
        <v>1</v>
      </c>
      <c r="T54" s="415">
        <f t="shared" si="14"/>
        <v>0.254</v>
      </c>
      <c r="U54" s="416">
        <f t="shared" si="15"/>
        <v>0.35</v>
      </c>
      <c r="V54" s="416">
        <f t="shared" si="16"/>
        <v>0.21</v>
      </c>
      <c r="W54" s="416">
        <f t="shared" si="17"/>
        <v>8.6999999999999994E-2</v>
      </c>
      <c r="X54" s="416">
        <f t="shared" si="18"/>
        <v>6.3E-2</v>
      </c>
      <c r="Y54" s="416">
        <f t="shared" si="19"/>
        <v>3.5999999999999997E-2</v>
      </c>
      <c r="Z54" s="416">
        <f t="shared" si="20"/>
        <v>0</v>
      </c>
      <c r="AA54" s="416">
        <f t="shared" si="21"/>
        <v>0</v>
      </c>
      <c r="AB54" s="416">
        <f t="shared" si="22"/>
        <v>0</v>
      </c>
      <c r="AC54" s="417">
        <f t="shared" si="23"/>
        <v>0</v>
      </c>
    </row>
    <row r="55" spans="2:29" s="355" customFormat="1" x14ac:dyDescent="0.25">
      <c r="B55" s="418">
        <f t="shared" si="26"/>
        <v>-7.3866864319078129E-2</v>
      </c>
      <c r="C55" s="419">
        <f t="shared" si="27"/>
        <v>6.6388834503398608E-3</v>
      </c>
      <c r="D55" s="419">
        <f t="shared" si="27"/>
        <v>-8.1503090649735654E-2</v>
      </c>
      <c r="E55" s="419">
        <f t="shared" si="27"/>
        <v>-4.3995580790423178E-2</v>
      </c>
      <c r="F55" s="419">
        <f t="shared" si="27"/>
        <v>-1.5109277543143229E-2</v>
      </c>
      <c r="G55" s="419">
        <f t="shared" si="27"/>
        <v>7.9667160797695369E-3</v>
      </c>
      <c r="H55" s="419">
        <f t="shared" si="27"/>
        <v>0</v>
      </c>
      <c r="I55" s="419">
        <f t="shared" si="27"/>
        <v>0</v>
      </c>
      <c r="J55" s="419">
        <f t="shared" si="27"/>
        <v>0</v>
      </c>
      <c r="K55" s="420">
        <f t="shared" si="27"/>
        <v>0</v>
      </c>
      <c r="L55" s="418">
        <f>MDETERM(C51:G55)</f>
        <v>4.0925237043042742E-11</v>
      </c>
      <c r="O55" s="403">
        <f t="shared" si="12"/>
        <v>2.1800000000000002</v>
      </c>
      <c r="P55" s="403">
        <f t="shared" si="13"/>
        <v>2.0719764999867087</v>
      </c>
      <c r="Q55" s="370">
        <v>5</v>
      </c>
      <c r="R55" s="403">
        <f t="array" ref="R55">MMULT($B$47:$K$47,TRANSPOSE(T55:AC55 ))</f>
        <v>0.75234000000041024</v>
      </c>
      <c r="S55" s="414">
        <f t="shared" si="25"/>
        <v>1</v>
      </c>
      <c r="T55" s="415">
        <f t="shared" si="14"/>
        <v>0.23799999999999999</v>
      </c>
      <c r="U55" s="416">
        <f t="shared" si="15"/>
        <v>0.35699999999999998</v>
      </c>
      <c r="V55" s="416">
        <f t="shared" si="16"/>
        <v>0.191</v>
      </c>
      <c r="W55" s="416">
        <f t="shared" si="17"/>
        <v>7.6999999999999999E-2</v>
      </c>
      <c r="X55" s="416">
        <f t="shared" si="18"/>
        <v>8.7999999999999995E-2</v>
      </c>
      <c r="Y55" s="416">
        <f t="shared" si="19"/>
        <v>4.9000000000000002E-2</v>
      </c>
      <c r="Z55" s="416">
        <f t="shared" si="20"/>
        <v>0</v>
      </c>
      <c r="AA55" s="416">
        <f t="shared" si="21"/>
        <v>0</v>
      </c>
      <c r="AB55" s="416">
        <f t="shared" si="22"/>
        <v>0</v>
      </c>
      <c r="AC55" s="417">
        <f t="shared" si="23"/>
        <v>0</v>
      </c>
    </row>
    <row r="56" spans="2:29" s="355" customFormat="1" x14ac:dyDescent="0.25">
      <c r="B56" s="418">
        <f t="shared" si="26"/>
        <v>0</v>
      </c>
      <c r="C56" s="419">
        <f t="shared" si="27"/>
        <v>0</v>
      </c>
      <c r="D56" s="419">
        <f t="shared" si="27"/>
        <v>0</v>
      </c>
      <c r="E56" s="419">
        <f t="shared" si="27"/>
        <v>0</v>
      </c>
      <c r="F56" s="419">
        <f t="shared" si="27"/>
        <v>0</v>
      </c>
      <c r="G56" s="419">
        <f t="shared" si="27"/>
        <v>0</v>
      </c>
      <c r="H56" s="419">
        <f t="shared" si="27"/>
        <v>0</v>
      </c>
      <c r="I56" s="419">
        <f t="shared" si="27"/>
        <v>0</v>
      </c>
      <c r="J56" s="419">
        <f t="shared" si="27"/>
        <v>0</v>
      </c>
      <c r="K56" s="420">
        <f t="shared" si="27"/>
        <v>0</v>
      </c>
      <c r="L56" s="418">
        <f>MDETERM(C51:H56)</f>
        <v>0</v>
      </c>
      <c r="O56" s="403">
        <f t="shared" si="12"/>
        <v>0</v>
      </c>
      <c r="P56" s="403">
        <f t="shared" si="13"/>
        <v>0</v>
      </c>
      <c r="Q56" s="370">
        <v>6</v>
      </c>
      <c r="R56" s="403">
        <f t="array" ref="R56">MMULT($B$47:$K$47,TRANSPOSE(T56:AC56))</f>
        <v>0</v>
      </c>
      <c r="S56" s="414">
        <f t="shared" si="25"/>
        <v>1</v>
      </c>
      <c r="T56" s="415">
        <f t="shared" si="14"/>
        <v>0</v>
      </c>
      <c r="U56" s="416">
        <f t="shared" si="15"/>
        <v>0</v>
      </c>
      <c r="V56" s="416">
        <f t="shared" si="16"/>
        <v>0</v>
      </c>
      <c r="W56" s="416">
        <f t="shared" si="17"/>
        <v>0</v>
      </c>
      <c r="X56" s="416">
        <f t="shared" si="18"/>
        <v>0</v>
      </c>
      <c r="Y56" s="416">
        <f t="shared" si="19"/>
        <v>0</v>
      </c>
      <c r="Z56" s="416">
        <f t="shared" si="20"/>
        <v>0</v>
      </c>
      <c r="AA56" s="416">
        <f t="shared" si="21"/>
        <v>0</v>
      </c>
      <c r="AB56" s="416">
        <f t="shared" si="22"/>
        <v>0</v>
      </c>
      <c r="AC56" s="417">
        <f t="shared" si="23"/>
        <v>0</v>
      </c>
    </row>
    <row r="57" spans="2:29" s="355" customFormat="1" x14ac:dyDescent="0.25">
      <c r="B57" s="418">
        <f t="shared" si="26"/>
        <v>0</v>
      </c>
      <c r="C57" s="419">
        <f t="shared" si="27"/>
        <v>0</v>
      </c>
      <c r="D57" s="419">
        <f t="shared" si="27"/>
        <v>0</v>
      </c>
      <c r="E57" s="419">
        <f t="shared" si="27"/>
        <v>0</v>
      </c>
      <c r="F57" s="419">
        <f t="shared" si="27"/>
        <v>0</v>
      </c>
      <c r="G57" s="419">
        <f t="shared" si="27"/>
        <v>0</v>
      </c>
      <c r="H57" s="419">
        <f t="shared" si="27"/>
        <v>0</v>
      </c>
      <c r="I57" s="419">
        <f t="shared" si="27"/>
        <v>0</v>
      </c>
      <c r="J57" s="419">
        <f t="shared" si="27"/>
        <v>0</v>
      </c>
      <c r="K57" s="420">
        <f t="shared" si="27"/>
        <v>0</v>
      </c>
      <c r="L57" s="418">
        <f>MDETERM(C51:I57)</f>
        <v>0</v>
      </c>
      <c r="O57" s="403">
        <f t="shared" si="12"/>
        <v>0</v>
      </c>
      <c r="P57" s="403">
        <f t="shared" si="13"/>
        <v>0</v>
      </c>
      <c r="Q57" s="370">
        <v>7</v>
      </c>
      <c r="R57" s="403">
        <f t="array" ref="R57">MMULT($B$47:$K$47,TRANSPOSE(T57:AC57))</f>
        <v>0</v>
      </c>
      <c r="S57" s="414">
        <f t="shared" si="25"/>
        <v>1</v>
      </c>
      <c r="T57" s="415">
        <f t="shared" si="14"/>
        <v>0</v>
      </c>
      <c r="U57" s="416">
        <f t="shared" si="15"/>
        <v>0</v>
      </c>
      <c r="V57" s="416">
        <f t="shared" si="16"/>
        <v>0</v>
      </c>
      <c r="W57" s="416">
        <f t="shared" si="17"/>
        <v>0</v>
      </c>
      <c r="X57" s="416">
        <f t="shared" si="18"/>
        <v>0</v>
      </c>
      <c r="Y57" s="416">
        <f t="shared" si="19"/>
        <v>0</v>
      </c>
      <c r="Z57" s="416">
        <f t="shared" si="20"/>
        <v>0</v>
      </c>
      <c r="AA57" s="416">
        <f t="shared" si="21"/>
        <v>0</v>
      </c>
      <c r="AB57" s="416">
        <f t="shared" si="22"/>
        <v>0</v>
      </c>
      <c r="AC57" s="417">
        <f t="shared" si="23"/>
        <v>0</v>
      </c>
    </row>
    <row r="58" spans="2:29" s="355" customFormat="1" x14ac:dyDescent="0.25">
      <c r="B58" s="418">
        <f t="shared" si="26"/>
        <v>0</v>
      </c>
      <c r="C58" s="419">
        <f t="shared" si="27"/>
        <v>0</v>
      </c>
      <c r="D58" s="419">
        <f t="shared" si="27"/>
        <v>0</v>
      </c>
      <c r="E58" s="419">
        <f t="shared" si="27"/>
        <v>0</v>
      </c>
      <c r="F58" s="419">
        <f t="shared" si="27"/>
        <v>0</v>
      </c>
      <c r="G58" s="419">
        <f t="shared" si="27"/>
        <v>0</v>
      </c>
      <c r="H58" s="419">
        <f t="shared" si="27"/>
        <v>0</v>
      </c>
      <c r="I58" s="419">
        <f t="shared" si="27"/>
        <v>0</v>
      </c>
      <c r="J58" s="419">
        <f t="shared" si="27"/>
        <v>0</v>
      </c>
      <c r="K58" s="420">
        <f t="shared" si="27"/>
        <v>0</v>
      </c>
      <c r="L58" s="418">
        <f>MDETERM(C51:J58)</f>
        <v>0</v>
      </c>
      <c r="O58" s="403">
        <f t="shared" si="12"/>
        <v>0</v>
      </c>
      <c r="P58" s="403">
        <f t="shared" si="13"/>
        <v>0</v>
      </c>
      <c r="Q58" s="370">
        <v>8</v>
      </c>
      <c r="R58" s="403">
        <f t="array" ref="R58">MMULT($B$47:$K$47,TRANSPOSE(T58:AC58))</f>
        <v>0</v>
      </c>
      <c r="S58" s="414">
        <f t="shared" si="25"/>
        <v>1</v>
      </c>
      <c r="T58" s="415">
        <f t="shared" si="14"/>
        <v>0</v>
      </c>
      <c r="U58" s="416">
        <f t="shared" si="15"/>
        <v>0</v>
      </c>
      <c r="V58" s="416">
        <f t="shared" si="16"/>
        <v>0</v>
      </c>
      <c r="W58" s="416">
        <f t="shared" si="17"/>
        <v>0</v>
      </c>
      <c r="X58" s="416">
        <f t="shared" si="18"/>
        <v>0</v>
      </c>
      <c r="Y58" s="416">
        <f t="shared" si="19"/>
        <v>0</v>
      </c>
      <c r="Z58" s="416">
        <f t="shared" si="20"/>
        <v>0</v>
      </c>
      <c r="AA58" s="416">
        <f t="shared" si="21"/>
        <v>0</v>
      </c>
      <c r="AB58" s="416">
        <f t="shared" si="22"/>
        <v>0</v>
      </c>
      <c r="AC58" s="417">
        <f t="shared" si="23"/>
        <v>0</v>
      </c>
    </row>
    <row r="59" spans="2:29" s="355" customFormat="1" ht="15.75" thickBot="1" x14ac:dyDescent="0.3">
      <c r="B59" s="421">
        <f>IF($P59=0,0,$O59/$P59*C$6-C15)</f>
        <v>0</v>
      </c>
      <c r="C59" s="422">
        <f t="shared" si="27"/>
        <v>0</v>
      </c>
      <c r="D59" s="422">
        <f t="shared" si="27"/>
        <v>0</v>
      </c>
      <c r="E59" s="422">
        <f t="shared" si="27"/>
        <v>0</v>
      </c>
      <c r="F59" s="422">
        <f t="shared" si="27"/>
        <v>0</v>
      </c>
      <c r="G59" s="422">
        <f t="shared" si="27"/>
        <v>0</v>
      </c>
      <c r="H59" s="422">
        <f t="shared" si="27"/>
        <v>0</v>
      </c>
      <c r="I59" s="422">
        <f t="shared" si="27"/>
        <v>0</v>
      </c>
      <c r="J59" s="422">
        <f t="shared" si="27"/>
        <v>0</v>
      </c>
      <c r="K59" s="423">
        <f t="shared" si="27"/>
        <v>0</v>
      </c>
      <c r="L59" s="421">
        <f>MDETERM(C51:K59)</f>
        <v>0</v>
      </c>
      <c r="O59" s="403">
        <f t="shared" si="12"/>
        <v>0</v>
      </c>
      <c r="P59" s="403">
        <f t="shared" si="13"/>
        <v>0</v>
      </c>
      <c r="Q59" s="373">
        <v>9</v>
      </c>
      <c r="R59" s="403">
        <f t="array" ref="R59">MMULT($B$47:$K$47,TRANSPOSE(T59:AC59))</f>
        <v>0</v>
      </c>
      <c r="S59" s="424">
        <f t="shared" si="25"/>
        <v>1</v>
      </c>
      <c r="T59" s="425">
        <f t="shared" si="14"/>
        <v>0</v>
      </c>
      <c r="U59" s="426">
        <f t="shared" si="15"/>
        <v>0</v>
      </c>
      <c r="V59" s="426">
        <f t="shared" si="16"/>
        <v>0</v>
      </c>
      <c r="W59" s="426">
        <f t="shared" si="17"/>
        <v>0</v>
      </c>
      <c r="X59" s="426">
        <f t="shared" si="18"/>
        <v>0</v>
      </c>
      <c r="Y59" s="426">
        <f t="shared" si="19"/>
        <v>0</v>
      </c>
      <c r="Z59" s="426">
        <f t="shared" si="20"/>
        <v>0</v>
      </c>
      <c r="AA59" s="426">
        <f t="shared" si="21"/>
        <v>0</v>
      </c>
      <c r="AB59" s="426">
        <f t="shared" si="22"/>
        <v>0</v>
      </c>
      <c r="AC59" s="427">
        <f t="shared" si="23"/>
        <v>0</v>
      </c>
    </row>
    <row r="60" spans="2:29" s="355" customFormat="1" x14ac:dyDescent="0.25">
      <c r="B60" s="416"/>
      <c r="C60" s="416"/>
      <c r="D60" s="416"/>
      <c r="E60" s="416"/>
      <c r="F60" s="416"/>
      <c r="G60" s="416"/>
      <c r="H60" s="416"/>
      <c r="I60" s="416"/>
      <c r="J60" s="416"/>
      <c r="K60" s="416"/>
      <c r="L60" s="416"/>
      <c r="Q60" s="362"/>
      <c r="R60" s="362"/>
      <c r="S60" s="428">
        <f>COUNTIF(S50:S59,"=1")</f>
        <v>10</v>
      </c>
      <c r="T60" s="429">
        <f>IF(SUM(T50:T59)&gt;0,1,0)</f>
        <v>1</v>
      </c>
      <c r="U60" s="362">
        <f t="shared" ref="U60:AC60" si="28">IF(SUM(U50:U59)&gt;0,1,0)</f>
        <v>1</v>
      </c>
      <c r="V60" s="362">
        <f t="shared" si="28"/>
        <v>1</v>
      </c>
      <c r="W60" s="362">
        <f t="shared" si="28"/>
        <v>1</v>
      </c>
      <c r="X60" s="362">
        <f t="shared" si="28"/>
        <v>1</v>
      </c>
      <c r="Y60" s="362">
        <f t="shared" si="28"/>
        <v>1</v>
      </c>
      <c r="Z60" s="362">
        <f t="shared" si="28"/>
        <v>0</v>
      </c>
      <c r="AA60" s="362">
        <f t="shared" si="28"/>
        <v>0</v>
      </c>
      <c r="AB60" s="362">
        <f t="shared" si="28"/>
        <v>0</v>
      </c>
      <c r="AC60" s="362">
        <f t="shared" si="28"/>
        <v>0</v>
      </c>
    </row>
    <row r="61" spans="2:29" s="355" customFormat="1" x14ac:dyDescent="0.25">
      <c r="B61" s="355" t="s">
        <v>136</v>
      </c>
      <c r="Q61" s="362"/>
      <c r="T61" s="355" t="s">
        <v>235</v>
      </c>
    </row>
    <row r="62" spans="2:29" s="355" customFormat="1" x14ac:dyDescent="0.25">
      <c r="B62" s="362"/>
      <c r="C62" s="362">
        <v>1</v>
      </c>
      <c r="D62" s="362">
        <v>2</v>
      </c>
      <c r="E62" s="362">
        <v>3</v>
      </c>
      <c r="F62" s="362">
        <v>4</v>
      </c>
      <c r="G62" s="362">
        <v>5</v>
      </c>
      <c r="H62" s="362">
        <v>6</v>
      </c>
      <c r="I62" s="362">
        <v>7</v>
      </c>
      <c r="J62" s="362">
        <v>8</v>
      </c>
      <c r="K62" s="362">
        <v>9</v>
      </c>
      <c r="Q62" s="362"/>
    </row>
    <row r="63" spans="2:29" s="355" customFormat="1" x14ac:dyDescent="0.25">
      <c r="B63" s="355">
        <v>1</v>
      </c>
      <c r="C63" s="555">
        <f>IF(ISNUMBER(C130),C130,IF(ISNUMBER(C121),C121,IF(ISNUMBER(C113),C113,IF(ISNUMBER(C106),C106,IF(ISNUMBER(C100),C100,IF(ISNUMBER(C95),C95,IF(ISNUMBER(C91),C91,IF(ISNUMBER(C88),C88,IF(ISNUMBER(C86),C86,0)))))))))</f>
        <v>6699.3428649539328</v>
      </c>
      <c r="D63" s="556">
        <f>IF(ISNUMBER(D130),D130,IF(ISNUMBER(D121),D121,IF(ISNUMBER(D113),D113,IF(ISNUMBER(D106),D106,IF(ISNUMBER(D100),D100,IF(ISNUMBER(D95),D95,IF(ISNUMBER(D91),D91,IF(ISNUMBER(D88),D88,0))))))))</f>
        <v>767.17049753968809</v>
      </c>
      <c r="E63" s="556">
        <f>IF(ISNUMBER(E130),E130,IF(ISNUMBER(E121),E121,IF(ISNUMBER(E113),E113,IF(ISNUMBER(E106),E106,IF(ISNUMBER(E100),E100,IF(ISNUMBER(E95),E95,IF(ISNUMBER(E91),E91,0)))))))</f>
        <v>-1523.9314707491435</v>
      </c>
      <c r="F63" s="556">
        <f>IF(ISNUMBER(F130),F130,IF(ISNUMBER(F121),F121,IF(ISNUMBER(F113),F113,IF(ISNUMBER(F106),F106,IF(ISNUMBER(F100),F100,IF(ISNUMBER(F95),F95,0))))))</f>
        <v>-3198.4634882451455</v>
      </c>
      <c r="G63" s="556">
        <f>IF(ISNUMBER(G130),G130,IF(ISNUMBER(G121),G121,IF(ISNUMBER(G113),G113,IF(ISNUMBER(G106),G106,IF(ISNUMBER(G100),G100,0)))))</f>
        <v>597.66513395301513</v>
      </c>
      <c r="H63" s="556">
        <f t="shared" ref="H63:H68" si="29">IF(ISNUMBER(H130),H130,IF(ISNUMBER(H121),H121,IF(ISNUMBER(H113),H113,IF(ISNUMBER(H106),H106,0))))</f>
        <v>0</v>
      </c>
      <c r="I63" s="556">
        <f t="shared" ref="I63:I69" si="30">IF(ISNUMBER(I130),I130,IF(ISNUMBER(I121),I121,IF(ISNUMBER(I113),I113,0)))</f>
        <v>0</v>
      </c>
      <c r="J63" s="556">
        <f t="shared" ref="J63:J70" si="31">IF(ISNUMBER(J130),J130,IF(ISNUMBER(J121),J121,0))</f>
        <v>0</v>
      </c>
      <c r="K63" s="557">
        <f t="shared" ref="K63:K71" si="32">IF(ISNUMBER(K130),K130,0)</f>
        <v>0</v>
      </c>
      <c r="Q63" s="362"/>
      <c r="R63" s="402"/>
      <c r="S63" s="402" t="s">
        <v>76</v>
      </c>
      <c r="T63" s="386">
        <f>COUNTIF(U60:AC60,"=1")</f>
        <v>5</v>
      </c>
    </row>
    <row r="64" spans="2:29" s="355" customFormat="1" x14ac:dyDescent="0.25">
      <c r="B64" s="355">
        <v>2</v>
      </c>
      <c r="C64" s="558">
        <f>IF(ISNUMBER(C131),C131,IF(ISNUMBER(C122),C122,IF(ISNUMBER(C114),C114,IF(ISNUMBER(C107),C107,IF(ISNUMBER(C101),C101,IF(ISNUMBER(C96),C96,IF(ISNUMBER(C92),C92,IF(ISNUMBER(C89),C89,0))))))))</f>
        <v>-4937.5654250959687</v>
      </c>
      <c r="D64" s="559">
        <f>IF(ISNUMBER(D131),D131,IF(ISNUMBER(D122),D122,IF(ISNUMBER(D114),D114,IF(ISNUMBER(D107),D107,IF(ISNUMBER(D101),D101,IF(ISNUMBER(D96),D96,IF(ISNUMBER(D92),D92,IF(ISNUMBER(D89),D89,0))))))))</f>
        <v>-499.66632859489459</v>
      </c>
      <c r="E64" s="559">
        <f>IF(ISNUMBER(E131),E131,IF(ISNUMBER(E122),E122,IF(ISNUMBER(E114),E114,IF(ISNUMBER(E107),E107,IF(ISNUMBER(E101),E101,IF(ISNUMBER(E96),E96,IF(ISNUMBER(E92),E92,0)))))))</f>
        <v>1068.2082955167439</v>
      </c>
      <c r="F64" s="559">
        <f>IF(ISNUMBER(F131),F131,IF(ISNUMBER(F122),F122,IF(ISNUMBER(F114),F114,IF(ISNUMBER(F107),F107,IF(ISNUMBER(F101),F101,IF(ISNUMBER(F96),F96,0))))))</f>
        <v>2316.9713477311379</v>
      </c>
      <c r="G64" s="559">
        <f>IF(ISNUMBER(G131),G131,IF(ISNUMBER(G122),G122,IF(ISNUMBER(G114),G114,IF(ISNUMBER(G107),G107,IF(ISNUMBER(G101),G101,0)))))</f>
        <v>-432.60391539094786</v>
      </c>
      <c r="H64" s="559">
        <f t="shared" si="29"/>
        <v>0</v>
      </c>
      <c r="I64" s="559">
        <f t="shared" si="30"/>
        <v>0</v>
      </c>
      <c r="J64" s="559">
        <f t="shared" si="31"/>
        <v>0</v>
      </c>
      <c r="K64" s="560">
        <f t="shared" si="32"/>
        <v>0</v>
      </c>
      <c r="Q64" s="362"/>
      <c r="R64" s="402"/>
      <c r="S64" s="402" t="s">
        <v>75</v>
      </c>
      <c r="T64" s="386">
        <f>COUNTIF(L74:L82,"=1")</f>
        <v>5</v>
      </c>
    </row>
    <row r="65" spans="2:22" s="355" customFormat="1" x14ac:dyDescent="0.25">
      <c r="B65" s="355">
        <v>3</v>
      </c>
      <c r="C65" s="558">
        <f>IF(ISNUMBER(C132),C132,IF(ISNUMBER(C123),C123,IF(ISNUMBER(C115),C115,IF(ISNUMBER(C108),C108,IF(ISNUMBER(C102),C102,IF(ISNUMBER(C97),C97,IF(ISNUMBER(C93),C93,0)))))))</f>
        <v>12095.839769000175</v>
      </c>
      <c r="D65" s="559">
        <f>IF(ISNUMBER(D132),D132,IF(ISNUMBER(D123),D123,IF(ISNUMBER(D115),D115,IF(ISNUMBER(D108),D108,IF(ISNUMBER(D102),D102,IF(ISNUMBER(D97),D97,IF(ISNUMBER(D93),D93,0)))))))</f>
        <v>1247.2745352652576</v>
      </c>
      <c r="E65" s="559">
        <f>IF(ISNUMBER(E132),E132,IF(ISNUMBER(E123),E123,IF(ISNUMBER(E115),E115,IF(ISNUMBER(E108),E108,IF(ISNUMBER(E102),E102,IF(ISNUMBER(E97),E97,IF(ISNUMBER(E93),E93,0)))))))</f>
        <v>-2659.6597525972184</v>
      </c>
      <c r="F65" s="559">
        <f>IF(ISNUMBER(F132),F132,IF(ISNUMBER(F123),F123,IF(ISNUMBER(F115),F115,IF(ISNUMBER(F108),F108,IF(ISNUMBER(F102),F102,IF(ISNUMBER(F97),F97,0))))))</f>
        <v>-5673.7283351561673</v>
      </c>
      <c r="G65" s="559">
        <f>IF(ISNUMBER(G132),G132,IF(ISNUMBER(G123),G123,IF(ISNUMBER(G115),G115,IF(ISNUMBER(G108),G108,IF(ISNUMBER(G102),G102,0)))))</f>
        <v>1044.2301633406832</v>
      </c>
      <c r="H65" s="559">
        <f t="shared" si="29"/>
        <v>0</v>
      </c>
      <c r="I65" s="559">
        <f t="shared" si="30"/>
        <v>0</v>
      </c>
      <c r="J65" s="559">
        <f t="shared" si="31"/>
        <v>0</v>
      </c>
      <c r="K65" s="560">
        <f t="shared" si="32"/>
        <v>0</v>
      </c>
      <c r="Q65" s="362"/>
      <c r="R65" s="402"/>
      <c r="S65" s="402" t="s">
        <v>22</v>
      </c>
      <c r="T65" s="386">
        <f>COUNTIF(M6:M15,"=1")-1</f>
        <v>5</v>
      </c>
    </row>
    <row r="66" spans="2:22" s="355" customFormat="1" x14ac:dyDescent="0.25">
      <c r="B66" s="355">
        <v>4</v>
      </c>
      <c r="C66" s="558">
        <f>IF(ISNUMBER(C133),C133,IF(ISNUMBER(C124),C124,IF(ISNUMBER(C116),C116,IF(ISNUMBER(C109),C109,IF(ISNUMBER(C103),C103,IF(ISNUMBER(C98),C98,0))))))</f>
        <v>-4002.6522006563591</v>
      </c>
      <c r="D66" s="559">
        <f>IF(ISNUMBER(D133),D133,IF(ISNUMBER(D124),D124,IF(ISNUMBER(D116),D116,IF(ISNUMBER(D109),D109,IF(ISNUMBER(D103),D103,IF(ISNUMBER(D98),D98,0))))))</f>
        <v>-438.20768179336085</v>
      </c>
      <c r="E66" s="559">
        <f>IF(ISNUMBER(E133),E133,IF(ISNUMBER(E124),E124,IF(ISNUMBER(E116),E116,IF(ISNUMBER(E109),E109,IF(ISNUMBER(E103),E103,IF(ISNUMBER(E98),E98,0))))))</f>
        <v>923.77188354298175</v>
      </c>
      <c r="F66" s="559">
        <f>IF(ISNUMBER(F133),F133,IF(ISNUMBER(F124),F124,IF(ISNUMBER(F116),F116,IF(ISNUMBER(F109),F109,IF(ISNUMBER(F103),F103,IF(ISNUMBER(F98),F98,0))))))</f>
        <v>1858.4478130127009</v>
      </c>
      <c r="G66" s="559">
        <f>IF(ISNUMBER(G133),G133,IF(ISNUMBER(G124),G124,IF(ISNUMBER(G116),G116,IF(ISNUMBER(G109),G109,IF(ISNUMBER(G103),G103,0)))))</f>
        <v>-344.79149125207238</v>
      </c>
      <c r="H66" s="559">
        <f t="shared" si="29"/>
        <v>0</v>
      </c>
      <c r="I66" s="559">
        <f t="shared" si="30"/>
        <v>0</v>
      </c>
      <c r="J66" s="559">
        <f t="shared" si="31"/>
        <v>0</v>
      </c>
      <c r="K66" s="560">
        <f t="shared" si="32"/>
        <v>0</v>
      </c>
      <c r="Q66" s="362"/>
    </row>
    <row r="67" spans="2:22" s="355" customFormat="1" x14ac:dyDescent="0.25">
      <c r="B67" s="355">
        <v>5</v>
      </c>
      <c r="C67" s="558">
        <f>IF(ISNUMBER(C134),C134,IF(ISNUMBER(C125),C125,IF(ISNUMBER(C117),C117,IF(ISNUMBER(C110),C110,IF(ISNUMBER(C104),C104,0)))))</f>
        <v>3110.8569231822503</v>
      </c>
      <c r="D67" s="559">
        <f>IF(ISNUMBER(D134),D134,IF(ISNUMBER(D125),D125,IF(ISNUMBER(D117),D117,IF(ISNUMBER(D110),D110,IF(ISNUMBER(D104),D104,0)))))</f>
        <v>305.7797566976709</v>
      </c>
      <c r="E67" s="559">
        <f>IF(ISNUMBER(E134),E134,IF(ISNUMBER(E125),E125,IF(ISNUMBER(E117),E117,IF(ISNUMBER(E110),E110,IF(ISNUMBER(E104),E104,0)))))</f>
        <v>-737.60238518320375</v>
      </c>
      <c r="F67" s="559">
        <f>IF(ISNUMBER(F134),F134,IF(ISNUMBER(F125),F125,IF(ISNUMBER(F117),F117,IF(ISNUMBER(F110),F110,IF(ISNUMBER(F104),F104,0)))))</f>
        <v>-1439.0643931110776</v>
      </c>
      <c r="G67" s="559">
        <f>IF(ISNUMBER(G134),G134,IF(ISNUMBER(G125),G125,IF(ISNUMBER(G117),G117,IF(ISNUMBER(G110),G110,IF(ISNUMBER(G104),G104,0)))))</f>
        <v>314.50560757245927</v>
      </c>
      <c r="H67" s="559">
        <f t="shared" si="29"/>
        <v>0</v>
      </c>
      <c r="I67" s="559">
        <f t="shared" si="30"/>
        <v>0</v>
      </c>
      <c r="J67" s="559">
        <f t="shared" si="31"/>
        <v>0</v>
      </c>
      <c r="K67" s="560">
        <f t="shared" si="32"/>
        <v>0</v>
      </c>
      <c r="Q67" s="362"/>
    </row>
    <row r="68" spans="2:22" s="355" customFormat="1" x14ac:dyDescent="0.25">
      <c r="B68" s="355">
        <v>6</v>
      </c>
      <c r="C68" s="558">
        <f>IF(ISNUMBER(C135),C135,IF(ISNUMBER(C126),C126,IF(ISNUMBER(C118),C118,IF(ISNUMBER(C111),C111,0))))</f>
        <v>0</v>
      </c>
      <c r="D68" s="559">
        <f>IF(ISNUMBER(D135),D135,IF(ISNUMBER(D126),D126,IF(ISNUMBER(D118),D118,IF(ISNUMBER(D111),D111,0))))</f>
        <v>0</v>
      </c>
      <c r="E68" s="559">
        <f>IF(ISNUMBER(E135),E135,IF(ISNUMBER(E126),E126,IF(ISNUMBER(E118),E118,IF(ISNUMBER(E111),E111,0))))</f>
        <v>0</v>
      </c>
      <c r="F68" s="559">
        <f>IF(ISNUMBER(F135),F135,IF(ISNUMBER(F126),F126,IF(ISNUMBER(F118),F118,IF(ISNUMBER(F111),F111,0))))</f>
        <v>0</v>
      </c>
      <c r="G68" s="559">
        <f>IF(ISNUMBER(G135),G135,IF(ISNUMBER(G126),G126,IF(ISNUMBER(G118),G118,IF(ISNUMBER(G111),G111,0))))</f>
        <v>0</v>
      </c>
      <c r="H68" s="559">
        <f t="shared" si="29"/>
        <v>0</v>
      </c>
      <c r="I68" s="559">
        <f t="shared" si="30"/>
        <v>0</v>
      </c>
      <c r="J68" s="559">
        <f t="shared" si="31"/>
        <v>0</v>
      </c>
      <c r="K68" s="560">
        <f t="shared" si="32"/>
        <v>0</v>
      </c>
      <c r="Q68" s="362"/>
    </row>
    <row r="69" spans="2:22" s="355" customFormat="1" x14ac:dyDescent="0.25">
      <c r="B69" s="355">
        <v>7</v>
      </c>
      <c r="C69" s="558">
        <f t="shared" ref="C69:H69" si="33">IF(ISNUMBER(C136),C136,IF(ISNUMBER(C127),C127,IF(ISNUMBER(C119),C119,0)))</f>
        <v>0</v>
      </c>
      <c r="D69" s="559">
        <f t="shared" si="33"/>
        <v>0</v>
      </c>
      <c r="E69" s="559">
        <f t="shared" si="33"/>
        <v>0</v>
      </c>
      <c r="F69" s="559">
        <f t="shared" si="33"/>
        <v>0</v>
      </c>
      <c r="G69" s="559">
        <f t="shared" si="33"/>
        <v>0</v>
      </c>
      <c r="H69" s="559">
        <f t="shared" si="33"/>
        <v>0</v>
      </c>
      <c r="I69" s="559">
        <f t="shared" si="30"/>
        <v>0</v>
      </c>
      <c r="J69" s="559">
        <f t="shared" si="31"/>
        <v>0</v>
      </c>
      <c r="K69" s="560">
        <f t="shared" si="32"/>
        <v>0</v>
      </c>
      <c r="Q69" s="362"/>
      <c r="T69" s="413"/>
      <c r="U69" s="413"/>
      <c r="V69" s="413"/>
    </row>
    <row r="70" spans="2:22" s="355" customFormat="1" x14ac:dyDescent="0.25">
      <c r="B70" s="355">
        <v>8</v>
      </c>
      <c r="C70" s="558">
        <f t="shared" ref="C70:I70" si="34">IF(ISNUMBER(C137),C137,IF(ISNUMBER(C128),C128,0))</f>
        <v>0</v>
      </c>
      <c r="D70" s="559">
        <f t="shared" si="34"/>
        <v>0</v>
      </c>
      <c r="E70" s="559">
        <f t="shared" si="34"/>
        <v>0</v>
      </c>
      <c r="F70" s="559">
        <f t="shared" si="34"/>
        <v>0</v>
      </c>
      <c r="G70" s="559">
        <f t="shared" si="34"/>
        <v>0</v>
      </c>
      <c r="H70" s="559">
        <f t="shared" si="34"/>
        <v>0</v>
      </c>
      <c r="I70" s="559">
        <f t="shared" si="34"/>
        <v>0</v>
      </c>
      <c r="J70" s="559">
        <f t="shared" si="31"/>
        <v>0</v>
      </c>
      <c r="K70" s="560">
        <f t="shared" si="32"/>
        <v>0</v>
      </c>
      <c r="Q70" s="362"/>
      <c r="T70" s="413"/>
      <c r="U70" s="413"/>
      <c r="V70" s="413"/>
    </row>
    <row r="71" spans="2:22" s="355" customFormat="1" x14ac:dyDescent="0.25">
      <c r="B71" s="355">
        <v>9</v>
      </c>
      <c r="C71" s="561">
        <f t="shared" ref="C71:J71" si="35">IF(ISNUMBER(C138),C138,0)</f>
        <v>0</v>
      </c>
      <c r="D71" s="562">
        <f t="shared" si="35"/>
        <v>0</v>
      </c>
      <c r="E71" s="562">
        <f t="shared" si="35"/>
        <v>0</v>
      </c>
      <c r="F71" s="562">
        <f t="shared" si="35"/>
        <v>0</v>
      </c>
      <c r="G71" s="562">
        <f t="shared" si="35"/>
        <v>0</v>
      </c>
      <c r="H71" s="562">
        <f t="shared" si="35"/>
        <v>0</v>
      </c>
      <c r="I71" s="562">
        <f t="shared" si="35"/>
        <v>0</v>
      </c>
      <c r="J71" s="562">
        <f t="shared" si="35"/>
        <v>0</v>
      </c>
      <c r="K71" s="563">
        <f t="shared" si="32"/>
        <v>0</v>
      </c>
      <c r="Q71" s="362"/>
      <c r="T71" s="413"/>
      <c r="U71" s="413"/>
      <c r="V71" s="413"/>
    </row>
    <row r="72" spans="2:22" s="355" customFormat="1" x14ac:dyDescent="0.25">
      <c r="C72" s="419"/>
      <c r="D72" s="419"/>
      <c r="E72" s="419"/>
      <c r="F72" s="419"/>
      <c r="G72" s="419"/>
      <c r="H72" s="419"/>
      <c r="I72" s="419"/>
      <c r="J72" s="419"/>
      <c r="K72" s="419"/>
      <c r="Q72" s="362"/>
      <c r="T72" s="413"/>
      <c r="U72" s="413"/>
      <c r="V72" s="413"/>
    </row>
    <row r="73" spans="2:22" s="355" customFormat="1" x14ac:dyDescent="0.25">
      <c r="B73" s="355" t="s">
        <v>137</v>
      </c>
      <c r="L73" s="355" t="s">
        <v>75</v>
      </c>
      <c r="Q73" s="362"/>
      <c r="T73" s="413"/>
      <c r="U73" s="413"/>
      <c r="V73" s="413"/>
    </row>
    <row r="74" spans="2:22" s="355" customFormat="1" x14ac:dyDescent="0.25">
      <c r="C74" s="406">
        <f t="array" ref="C74:K82">MMULT(C63:K71,C51:K59)</f>
        <v>1.0000000000000679</v>
      </c>
      <c r="D74" s="430">
        <v>7.3185901783290319E-13</v>
      </c>
      <c r="E74" s="430">
        <v>3.836930773104541E-13</v>
      </c>
      <c r="F74" s="430">
        <v>4.1566750041965861E-13</v>
      </c>
      <c r="G74" s="430">
        <v>8.9706020389712648E-14</v>
      </c>
      <c r="H74" s="430">
        <v>0</v>
      </c>
      <c r="I74" s="430">
        <v>0</v>
      </c>
      <c r="J74" s="430">
        <v>0</v>
      </c>
      <c r="K74" s="431">
        <v>0</v>
      </c>
      <c r="L74" s="413">
        <f t="shared" ref="L74" si="36">ROUND(C74,9)</f>
        <v>1</v>
      </c>
      <c r="Q74" s="362"/>
      <c r="T74" s="413"/>
      <c r="U74" s="413"/>
      <c r="V74" s="413"/>
    </row>
    <row r="75" spans="2:22" s="355" customFormat="1" x14ac:dyDescent="0.25">
      <c r="C75" s="415">
        <v>2.2204460492503131E-15</v>
      </c>
      <c r="D75" s="406">
        <v>0.99999999999997158</v>
      </c>
      <c r="E75" s="416">
        <v>-2.4868995751603507E-14</v>
      </c>
      <c r="F75" s="416">
        <v>-1.0658141036401503E-14</v>
      </c>
      <c r="G75" s="416">
        <v>6.2172489379008766E-15</v>
      </c>
      <c r="H75" s="416">
        <v>0</v>
      </c>
      <c r="I75" s="416">
        <v>0</v>
      </c>
      <c r="J75" s="416">
        <v>0</v>
      </c>
      <c r="K75" s="417">
        <v>0</v>
      </c>
      <c r="L75" s="413">
        <f>ROUND(D75,9)</f>
        <v>1</v>
      </c>
      <c r="Q75" s="362"/>
      <c r="T75" s="413"/>
      <c r="U75" s="413"/>
      <c r="V75" s="413"/>
    </row>
    <row r="76" spans="2:22" s="355" customFormat="1" x14ac:dyDescent="0.25">
      <c r="B76" s="359"/>
      <c r="C76" s="415">
        <v>-9.7699626167013776E-15</v>
      </c>
      <c r="D76" s="416">
        <v>7.1054273576010019E-14</v>
      </c>
      <c r="E76" s="406">
        <v>1.0000000000000782</v>
      </c>
      <c r="F76" s="416">
        <v>2.4868995751603507E-14</v>
      </c>
      <c r="G76" s="416">
        <v>-7.1054273576010019E-15</v>
      </c>
      <c r="H76" s="416">
        <v>0</v>
      </c>
      <c r="I76" s="416">
        <v>0</v>
      </c>
      <c r="J76" s="416">
        <v>0</v>
      </c>
      <c r="K76" s="417">
        <v>0</v>
      </c>
      <c r="L76" s="413">
        <f>ROUND(E76,9)</f>
        <v>1</v>
      </c>
      <c r="Q76" s="362"/>
      <c r="T76" s="413"/>
      <c r="U76" s="413"/>
      <c r="V76" s="413"/>
    </row>
    <row r="77" spans="2:22" s="355" customFormat="1" x14ac:dyDescent="0.25">
      <c r="B77" s="359"/>
      <c r="C77" s="415">
        <v>0</v>
      </c>
      <c r="D77" s="416">
        <v>-2.1316282072803006E-14</v>
      </c>
      <c r="E77" s="416">
        <v>-2.3092638912203256E-14</v>
      </c>
      <c r="F77" s="406">
        <v>0.99999999999997691</v>
      </c>
      <c r="G77" s="416">
        <v>4.8849813083506888E-15</v>
      </c>
      <c r="H77" s="416">
        <v>0</v>
      </c>
      <c r="I77" s="416">
        <v>0</v>
      </c>
      <c r="J77" s="416">
        <v>0</v>
      </c>
      <c r="K77" s="417">
        <v>0</v>
      </c>
      <c r="L77" s="413">
        <f>ROUND(F77,9)</f>
        <v>1</v>
      </c>
      <c r="Q77" s="362"/>
      <c r="T77" s="413"/>
      <c r="U77" s="413"/>
      <c r="V77" s="413"/>
    </row>
    <row r="78" spans="2:22" s="355" customFormat="1" x14ac:dyDescent="0.25">
      <c r="B78" s="359"/>
      <c r="C78" s="415">
        <v>0</v>
      </c>
      <c r="D78" s="416">
        <v>2.8421709430404007E-14</v>
      </c>
      <c r="E78" s="416">
        <v>2.4868995751603507E-14</v>
      </c>
      <c r="F78" s="416">
        <v>1.7763568394002505E-14</v>
      </c>
      <c r="G78" s="406">
        <v>0.99999999999999822</v>
      </c>
      <c r="H78" s="416">
        <v>0</v>
      </c>
      <c r="I78" s="416">
        <v>0</v>
      </c>
      <c r="J78" s="416">
        <v>0</v>
      </c>
      <c r="K78" s="417">
        <v>0</v>
      </c>
      <c r="L78" s="413">
        <f>ROUND(G78,9)</f>
        <v>1</v>
      </c>
      <c r="Q78" s="362"/>
      <c r="T78" s="413"/>
      <c r="U78" s="413"/>
      <c r="V78" s="413"/>
    </row>
    <row r="79" spans="2:22" s="355" customFormat="1" x14ac:dyDescent="0.25">
      <c r="B79" s="359"/>
      <c r="C79" s="415">
        <v>0</v>
      </c>
      <c r="D79" s="416">
        <v>0</v>
      </c>
      <c r="E79" s="416">
        <v>0</v>
      </c>
      <c r="F79" s="416">
        <v>0</v>
      </c>
      <c r="G79" s="416">
        <v>0</v>
      </c>
      <c r="H79" s="406">
        <v>0</v>
      </c>
      <c r="I79" s="416">
        <v>0</v>
      </c>
      <c r="J79" s="416">
        <v>0</v>
      </c>
      <c r="K79" s="417">
        <v>0</v>
      </c>
      <c r="L79" s="413">
        <f>ROUND(H79,9)</f>
        <v>0</v>
      </c>
      <c r="Q79" s="362"/>
    </row>
    <row r="80" spans="2:22" s="355" customFormat="1" x14ac:dyDescent="0.25">
      <c r="B80" s="359"/>
      <c r="C80" s="415">
        <v>0</v>
      </c>
      <c r="D80" s="416">
        <v>0</v>
      </c>
      <c r="E80" s="416">
        <v>0</v>
      </c>
      <c r="F80" s="416">
        <v>0</v>
      </c>
      <c r="G80" s="416">
        <v>0</v>
      </c>
      <c r="H80" s="416">
        <v>0</v>
      </c>
      <c r="I80" s="406">
        <v>0</v>
      </c>
      <c r="J80" s="416">
        <v>0</v>
      </c>
      <c r="K80" s="417">
        <v>0</v>
      </c>
      <c r="L80" s="413">
        <f>ROUND(I80,9)</f>
        <v>0</v>
      </c>
      <c r="Q80" s="362"/>
    </row>
    <row r="81" spans="2:17" s="355" customFormat="1" x14ac:dyDescent="0.25">
      <c r="B81" s="359"/>
      <c r="C81" s="415">
        <v>0</v>
      </c>
      <c r="D81" s="416">
        <v>0</v>
      </c>
      <c r="E81" s="416">
        <v>0</v>
      </c>
      <c r="F81" s="416">
        <v>0</v>
      </c>
      <c r="G81" s="416">
        <v>0</v>
      </c>
      <c r="H81" s="416">
        <v>0</v>
      </c>
      <c r="I81" s="416">
        <v>0</v>
      </c>
      <c r="J81" s="406">
        <v>0</v>
      </c>
      <c r="K81" s="417">
        <v>0</v>
      </c>
      <c r="L81" s="413">
        <f>ROUND(J81,9)</f>
        <v>0</v>
      </c>
      <c r="Q81" s="362"/>
    </row>
    <row r="82" spans="2:17" s="355" customFormat="1" x14ac:dyDescent="0.25">
      <c r="B82" s="359"/>
      <c r="C82" s="425">
        <v>0</v>
      </c>
      <c r="D82" s="426">
        <v>0</v>
      </c>
      <c r="E82" s="426">
        <v>0</v>
      </c>
      <c r="F82" s="426">
        <v>0</v>
      </c>
      <c r="G82" s="426">
        <v>0</v>
      </c>
      <c r="H82" s="426">
        <v>0</v>
      </c>
      <c r="I82" s="426">
        <v>0</v>
      </c>
      <c r="J82" s="426">
        <v>0</v>
      </c>
      <c r="K82" s="406">
        <v>0</v>
      </c>
      <c r="L82" s="413">
        <f>ROUND(K82,9)</f>
        <v>0</v>
      </c>
      <c r="Q82" s="362"/>
    </row>
    <row r="83" spans="2:17" s="355" customFormat="1" x14ac:dyDescent="0.25">
      <c r="B83" s="359"/>
      <c r="C83" s="359"/>
      <c r="D83" s="359"/>
      <c r="E83" s="359"/>
      <c r="O83" s="359"/>
      <c r="Q83" s="362"/>
    </row>
    <row r="84" spans="2:17" s="355" customFormat="1" x14ac:dyDescent="0.25">
      <c r="B84" s="403"/>
      <c r="F84" s="403"/>
      <c r="G84" s="403"/>
      <c r="H84" s="403"/>
      <c r="I84" s="403"/>
      <c r="J84" s="403"/>
      <c r="K84" s="403"/>
      <c r="L84" s="359"/>
      <c r="M84" s="359"/>
      <c r="N84" s="359"/>
      <c r="O84" s="359"/>
      <c r="Q84" s="362"/>
    </row>
    <row r="85" spans="2:17" s="355" customFormat="1" x14ac:dyDescent="0.25">
      <c r="B85" s="568" t="s">
        <v>234</v>
      </c>
      <c r="M85" s="359"/>
      <c r="N85" s="359"/>
      <c r="Q85" s="362"/>
    </row>
    <row r="86" spans="2:17" s="355" customFormat="1" x14ac:dyDescent="0.25">
      <c r="C86" s="564">
        <f t="array" ref="C86">MINVERSE(C51)</f>
        <v>-235.74442832651829</v>
      </c>
      <c r="D86" s="419"/>
      <c r="E86" s="432"/>
      <c r="F86" s="432"/>
      <c r="G86" s="432"/>
      <c r="H86" s="432"/>
      <c r="I86" s="432"/>
      <c r="L86" s="359"/>
      <c r="M86" s="359"/>
      <c r="Q86" s="362"/>
    </row>
    <row r="87" spans="2:17" s="355" customFormat="1" x14ac:dyDescent="0.25">
      <c r="C87" s="419"/>
      <c r="D87" s="419"/>
      <c r="E87" s="432"/>
      <c r="F87" s="432"/>
      <c r="G87" s="432"/>
      <c r="H87" s="432"/>
      <c r="I87" s="432"/>
      <c r="L87" s="359"/>
      <c r="M87" s="359"/>
      <c r="Q87" s="362"/>
    </row>
    <row r="88" spans="2:17" s="355" customFormat="1" x14ac:dyDescent="0.25">
      <c r="C88" s="555">
        <f t="array" ref="C88:D89">MINVERSE(C51:D52)</f>
        <v>-137.51046560032205</v>
      </c>
      <c r="D88" s="557">
        <v>57.843240191858065</v>
      </c>
      <c r="E88" s="419"/>
      <c r="F88" s="419"/>
      <c r="G88" s="433"/>
      <c r="H88" s="433"/>
      <c r="I88" s="433"/>
      <c r="J88" s="433"/>
      <c r="K88" s="433"/>
      <c r="L88" s="359"/>
      <c r="M88" s="359"/>
      <c r="Q88" s="362"/>
    </row>
    <row r="89" spans="2:17" s="355" customFormat="1" x14ac:dyDescent="0.25">
      <c r="C89" s="561">
        <v>-12.726021762519373</v>
      </c>
      <c r="D89" s="563">
        <v>-7.4934810025730556</v>
      </c>
      <c r="E89" s="419"/>
      <c r="F89" s="419"/>
      <c r="G89" s="433"/>
      <c r="H89" s="433"/>
      <c r="I89" s="433"/>
      <c r="J89" s="433"/>
      <c r="K89" s="433"/>
      <c r="Q89" s="362"/>
    </row>
    <row r="90" spans="2:17" s="355" customFormat="1" x14ac:dyDescent="0.25">
      <c r="C90" s="419"/>
      <c r="D90" s="419"/>
      <c r="E90" s="419"/>
      <c r="F90" s="419"/>
      <c r="G90" s="433"/>
      <c r="H90" s="433"/>
      <c r="I90" s="433"/>
      <c r="J90" s="433"/>
      <c r="K90" s="433"/>
      <c r="Q90" s="362"/>
    </row>
    <row r="91" spans="2:17" s="355" customFormat="1" x14ac:dyDescent="0.25">
      <c r="C91" s="555">
        <f t="array" ref="C91:E93">MINVERSE(C51:E53)</f>
        <v>-190.41090743724359</v>
      </c>
      <c r="D91" s="556">
        <v>16.007773559519826</v>
      </c>
      <c r="E91" s="557">
        <v>67.917866259596622</v>
      </c>
      <c r="F91" s="419"/>
      <c r="G91" s="433"/>
      <c r="H91" s="433"/>
      <c r="I91" s="432"/>
      <c r="J91" s="413"/>
      <c r="K91" s="413"/>
      <c r="Q91" s="362"/>
    </row>
    <row r="92" spans="2:17" s="355" customFormat="1" x14ac:dyDescent="0.25">
      <c r="C92" s="558">
        <v>53.298378678257578</v>
      </c>
      <c r="D92" s="559">
        <v>44.720857964108852</v>
      </c>
      <c r="E92" s="560">
        <v>-84.767465890559095</v>
      </c>
      <c r="F92" s="419"/>
      <c r="G92" s="433"/>
      <c r="H92" s="433"/>
      <c r="I92" s="432"/>
      <c r="J92" s="413"/>
      <c r="K92" s="413"/>
      <c r="Q92" s="362"/>
    </row>
    <row r="93" spans="2:17" s="355" customFormat="1" x14ac:dyDescent="0.25">
      <c r="C93" s="561">
        <v>-121.98994827957725</v>
      </c>
      <c r="D93" s="562">
        <v>-96.473795558527073</v>
      </c>
      <c r="E93" s="563">
        <v>156.62056316672923</v>
      </c>
      <c r="F93" s="419"/>
      <c r="G93" s="433"/>
      <c r="H93" s="433"/>
      <c r="I93" s="432"/>
      <c r="J93" s="413"/>
      <c r="K93" s="413"/>
      <c r="Q93" s="362"/>
    </row>
    <row r="94" spans="2:17" s="355" customFormat="1" x14ac:dyDescent="0.25">
      <c r="C94" s="419"/>
      <c r="D94" s="419"/>
      <c r="E94" s="419"/>
      <c r="F94" s="419"/>
      <c r="G94" s="433"/>
      <c r="H94" s="433"/>
      <c r="I94" s="432"/>
      <c r="J94" s="432"/>
      <c r="K94" s="432"/>
      <c r="L94" s="413"/>
      <c r="Q94" s="362"/>
    </row>
    <row r="95" spans="2:17" s="355" customFormat="1" x14ac:dyDescent="0.25">
      <c r="C95" s="555">
        <f t="array" ref="C95:F98">MINVERSE(C51:F54)</f>
        <v>787.68127629998776</v>
      </c>
      <c r="D95" s="556">
        <v>186.08737899869757</v>
      </c>
      <c r="E95" s="556">
        <v>-122.2419055065976</v>
      </c>
      <c r="F95" s="557">
        <v>-463.76308047072149</v>
      </c>
      <c r="G95" s="433"/>
      <c r="H95" s="433"/>
      <c r="I95" s="432"/>
      <c r="J95" s="413"/>
      <c r="K95" s="413"/>
      <c r="L95" s="413"/>
      <c r="Q95" s="362"/>
    </row>
    <row r="96" spans="2:17" s="355" customFormat="1" x14ac:dyDescent="0.25">
      <c r="C96" s="558">
        <v>-658.56736341712917</v>
      </c>
      <c r="D96" s="559">
        <v>-79.064861372319371</v>
      </c>
      <c r="E96" s="559">
        <v>53.632808946315478</v>
      </c>
      <c r="F96" s="560">
        <v>337.53163037690422</v>
      </c>
      <c r="G96" s="433"/>
      <c r="H96" s="433"/>
      <c r="I96" s="432"/>
      <c r="J96" s="413"/>
      <c r="K96" s="413"/>
      <c r="L96" s="413"/>
      <c r="Q96" s="362"/>
    </row>
    <row r="97" spans="3:17" s="355" customFormat="1" x14ac:dyDescent="0.25">
      <c r="C97" s="558">
        <v>1767.0871019251265</v>
      </c>
      <c r="D97" s="559">
        <v>232.0161818538057</v>
      </c>
      <c r="E97" s="559">
        <v>-210.65203821844915</v>
      </c>
      <c r="F97" s="560">
        <v>-895.70718038254427</v>
      </c>
      <c r="G97" s="433"/>
      <c r="H97" s="433"/>
      <c r="I97" s="432"/>
      <c r="J97" s="413"/>
      <c r="K97" s="413"/>
      <c r="Q97" s="362"/>
    </row>
    <row r="98" spans="3:17" s="355" customFormat="1" x14ac:dyDescent="0.25">
      <c r="C98" s="561">
        <v>-592.22970964012211</v>
      </c>
      <c r="D98" s="562">
        <v>-102.98231293504686</v>
      </c>
      <c r="E98" s="562">
        <v>115.14074878711095</v>
      </c>
      <c r="F98" s="563">
        <v>280.80612344692059</v>
      </c>
      <c r="G98" s="433"/>
      <c r="H98" s="433"/>
      <c r="I98" s="432"/>
      <c r="J98" s="413"/>
      <c r="K98" s="413"/>
      <c r="L98" s="413"/>
      <c r="M98" s="413"/>
      <c r="Q98" s="362"/>
    </row>
    <row r="99" spans="3:17" s="355" customFormat="1" x14ac:dyDescent="0.25">
      <c r="C99" s="433"/>
      <c r="D99" s="433"/>
      <c r="E99" s="433"/>
      <c r="F99" s="433"/>
      <c r="G99" s="433"/>
      <c r="H99" s="433"/>
      <c r="I99" s="433"/>
      <c r="J99" s="433"/>
      <c r="K99" s="433"/>
      <c r="L99" s="413"/>
      <c r="M99" s="413"/>
      <c r="Q99" s="362"/>
    </row>
    <row r="100" spans="3:17" s="355" customFormat="1" x14ac:dyDescent="0.25">
      <c r="C100" s="545">
        <f t="array" ref="C100:G104">MINVERSE(C51:G55)</f>
        <v>6699.3428649539328</v>
      </c>
      <c r="D100" s="546">
        <v>767.17049753968809</v>
      </c>
      <c r="E100" s="546">
        <v>-1523.9314707491435</v>
      </c>
      <c r="F100" s="546">
        <v>-3198.4634882451455</v>
      </c>
      <c r="G100" s="547">
        <v>597.66513395301513</v>
      </c>
      <c r="H100" s="433"/>
      <c r="I100" s="433"/>
      <c r="J100" s="433"/>
      <c r="K100" s="433"/>
      <c r="L100" s="413"/>
      <c r="M100" s="413"/>
      <c r="Q100" s="362"/>
    </row>
    <row r="101" spans="3:17" s="355" customFormat="1" x14ac:dyDescent="0.25">
      <c r="C101" s="548">
        <v>-4937.5654250959687</v>
      </c>
      <c r="D101" s="549">
        <v>-499.66632859489459</v>
      </c>
      <c r="E101" s="549">
        <v>1068.2082955167439</v>
      </c>
      <c r="F101" s="549">
        <v>2316.9713477311379</v>
      </c>
      <c r="G101" s="550">
        <v>-432.60391539094786</v>
      </c>
      <c r="H101" s="433"/>
      <c r="I101" s="433"/>
      <c r="J101" s="433"/>
      <c r="K101" s="433"/>
      <c r="L101" s="413"/>
      <c r="M101" s="413"/>
      <c r="Q101" s="362"/>
    </row>
    <row r="102" spans="3:17" s="355" customFormat="1" x14ac:dyDescent="0.25">
      <c r="C102" s="548">
        <v>12095.839769000175</v>
      </c>
      <c r="D102" s="549">
        <v>1247.2745352652576</v>
      </c>
      <c r="E102" s="549">
        <v>-2659.6597525972184</v>
      </c>
      <c r="F102" s="549">
        <v>-5673.7283351561673</v>
      </c>
      <c r="G102" s="550">
        <v>1044.2301633406832</v>
      </c>
      <c r="H102" s="432"/>
      <c r="I102" s="433"/>
      <c r="J102" s="359"/>
      <c r="K102" s="359"/>
      <c r="Q102" s="362"/>
    </row>
    <row r="103" spans="3:17" s="355" customFormat="1" x14ac:dyDescent="0.25">
      <c r="C103" s="548">
        <v>-4002.6522006563591</v>
      </c>
      <c r="D103" s="549">
        <v>-438.20768179336085</v>
      </c>
      <c r="E103" s="549">
        <v>923.77188354298175</v>
      </c>
      <c r="F103" s="549">
        <v>1858.4478130127009</v>
      </c>
      <c r="G103" s="550">
        <v>-344.79149125207238</v>
      </c>
      <c r="H103" s="432"/>
      <c r="I103" s="433"/>
      <c r="J103" s="359"/>
      <c r="K103" s="359"/>
      <c r="Q103" s="362"/>
    </row>
    <row r="104" spans="3:17" s="355" customFormat="1" x14ac:dyDescent="0.25">
      <c r="C104" s="551">
        <v>3110.8569231822503</v>
      </c>
      <c r="D104" s="552">
        <v>305.7797566976709</v>
      </c>
      <c r="E104" s="552">
        <v>-737.60238518320375</v>
      </c>
      <c r="F104" s="552">
        <v>-1439.0643931110776</v>
      </c>
      <c r="G104" s="553">
        <v>314.50560757245927</v>
      </c>
      <c r="H104" s="432"/>
      <c r="I104" s="433"/>
      <c r="J104" s="359"/>
      <c r="K104" s="359"/>
      <c r="Q104" s="362"/>
    </row>
    <row r="105" spans="3:17" s="355" customFormat="1" x14ac:dyDescent="0.25">
      <c r="C105" s="432"/>
      <c r="D105" s="432"/>
      <c r="E105" s="432"/>
      <c r="F105" s="432"/>
      <c r="G105" s="432"/>
      <c r="H105" s="432"/>
      <c r="I105" s="433"/>
      <c r="J105" s="359"/>
      <c r="K105" s="359"/>
      <c r="Q105" s="362"/>
    </row>
    <row r="106" spans="3:17" s="355" customFormat="1" x14ac:dyDescent="0.25">
      <c r="C106" s="545" t="e">
        <f t="array" ref="C106:H111">MINVERSE(C51:H56)</f>
        <v>#NUM!</v>
      </c>
      <c r="D106" s="546" t="e">
        <v>#NUM!</v>
      </c>
      <c r="E106" s="546" t="e">
        <v>#NUM!</v>
      </c>
      <c r="F106" s="546" t="e">
        <v>#NUM!</v>
      </c>
      <c r="G106" s="546" t="e">
        <v>#NUM!</v>
      </c>
      <c r="H106" s="547" t="e">
        <v>#NUM!</v>
      </c>
      <c r="I106" s="433"/>
      <c r="J106" s="359"/>
      <c r="K106" s="359"/>
      <c r="Q106" s="362"/>
    </row>
    <row r="107" spans="3:17" s="355" customFormat="1" x14ac:dyDescent="0.25">
      <c r="C107" s="548" t="e">
        <v>#NUM!</v>
      </c>
      <c r="D107" s="549" t="e">
        <v>#NUM!</v>
      </c>
      <c r="E107" s="549" t="e">
        <v>#NUM!</v>
      </c>
      <c r="F107" s="549" t="e">
        <v>#NUM!</v>
      </c>
      <c r="G107" s="549" t="e">
        <v>#NUM!</v>
      </c>
      <c r="H107" s="550" t="e">
        <v>#NUM!</v>
      </c>
      <c r="I107" s="433"/>
      <c r="J107" s="359"/>
      <c r="K107" s="359"/>
      <c r="Q107" s="362"/>
    </row>
    <row r="108" spans="3:17" s="355" customFormat="1" x14ac:dyDescent="0.25">
      <c r="C108" s="548" t="e">
        <v>#NUM!</v>
      </c>
      <c r="D108" s="549" t="e">
        <v>#NUM!</v>
      </c>
      <c r="E108" s="549" t="e">
        <v>#NUM!</v>
      </c>
      <c r="F108" s="549" t="e">
        <v>#NUM!</v>
      </c>
      <c r="G108" s="549" t="e">
        <v>#NUM!</v>
      </c>
      <c r="H108" s="550" t="e">
        <v>#NUM!</v>
      </c>
      <c r="I108" s="433"/>
      <c r="J108" s="359"/>
      <c r="K108" s="359"/>
      <c r="Q108" s="362"/>
    </row>
    <row r="109" spans="3:17" s="355" customFormat="1" x14ac:dyDescent="0.25">
      <c r="C109" s="548" t="e">
        <v>#NUM!</v>
      </c>
      <c r="D109" s="549" t="e">
        <v>#NUM!</v>
      </c>
      <c r="E109" s="549" t="e">
        <v>#NUM!</v>
      </c>
      <c r="F109" s="549" t="e">
        <v>#NUM!</v>
      </c>
      <c r="G109" s="549" t="e">
        <v>#NUM!</v>
      </c>
      <c r="H109" s="550" t="e">
        <v>#NUM!</v>
      </c>
      <c r="I109" s="433"/>
      <c r="J109" s="359"/>
      <c r="K109" s="359"/>
    </row>
    <row r="110" spans="3:17" s="355" customFormat="1" x14ac:dyDescent="0.25">
      <c r="C110" s="548" t="e">
        <v>#NUM!</v>
      </c>
      <c r="D110" s="549" t="e">
        <v>#NUM!</v>
      </c>
      <c r="E110" s="549" t="e">
        <v>#NUM!</v>
      </c>
      <c r="F110" s="549" t="e">
        <v>#NUM!</v>
      </c>
      <c r="G110" s="549" t="e">
        <v>#NUM!</v>
      </c>
      <c r="H110" s="550" t="e">
        <v>#NUM!</v>
      </c>
      <c r="I110" s="433"/>
      <c r="J110" s="359"/>
      <c r="K110" s="359"/>
      <c r="L110" s="413"/>
    </row>
    <row r="111" spans="3:17" s="355" customFormat="1" x14ac:dyDescent="0.25">
      <c r="C111" s="551" t="e">
        <v>#NUM!</v>
      </c>
      <c r="D111" s="552" t="e">
        <v>#NUM!</v>
      </c>
      <c r="E111" s="552" t="e">
        <v>#NUM!</v>
      </c>
      <c r="F111" s="552" t="e">
        <v>#NUM!</v>
      </c>
      <c r="G111" s="552" t="e">
        <v>#NUM!</v>
      </c>
      <c r="H111" s="553" t="e">
        <v>#NUM!</v>
      </c>
      <c r="I111" s="433"/>
      <c r="J111" s="359"/>
      <c r="K111" s="359"/>
      <c r="L111" s="413"/>
      <c r="Q111" s="362"/>
    </row>
    <row r="112" spans="3:17" s="355" customFormat="1" x14ac:dyDescent="0.25">
      <c r="C112" s="432"/>
      <c r="D112" s="432"/>
      <c r="E112" s="432"/>
      <c r="F112" s="432"/>
      <c r="G112" s="432"/>
      <c r="H112" s="432"/>
      <c r="I112" s="432"/>
    </row>
    <row r="113" spans="3:17" s="355" customFormat="1" x14ac:dyDescent="0.25">
      <c r="C113" s="545" t="e">
        <f t="array" ref="C113:I119">MINVERSE(C51:I57)</f>
        <v>#NUM!</v>
      </c>
      <c r="D113" s="546" t="e">
        <v>#NUM!</v>
      </c>
      <c r="E113" s="546" t="e">
        <v>#NUM!</v>
      </c>
      <c r="F113" s="546" t="e">
        <v>#NUM!</v>
      </c>
      <c r="G113" s="546" t="e">
        <v>#NUM!</v>
      </c>
      <c r="H113" s="546" t="e">
        <v>#NUM!</v>
      </c>
      <c r="I113" s="547" t="e">
        <v>#NUM!</v>
      </c>
    </row>
    <row r="114" spans="3:17" s="355" customFormat="1" x14ac:dyDescent="0.25">
      <c r="C114" s="548" t="e">
        <v>#NUM!</v>
      </c>
      <c r="D114" s="549" t="e">
        <v>#NUM!</v>
      </c>
      <c r="E114" s="549" t="e">
        <v>#NUM!</v>
      </c>
      <c r="F114" s="549" t="e">
        <v>#NUM!</v>
      </c>
      <c r="G114" s="549" t="e">
        <v>#NUM!</v>
      </c>
      <c r="H114" s="549" t="e">
        <v>#NUM!</v>
      </c>
      <c r="I114" s="550" t="e">
        <v>#NUM!</v>
      </c>
      <c r="Q114" s="362"/>
    </row>
    <row r="115" spans="3:17" s="355" customFormat="1" x14ac:dyDescent="0.25">
      <c r="C115" s="548" t="e">
        <v>#NUM!</v>
      </c>
      <c r="D115" s="549" t="e">
        <v>#NUM!</v>
      </c>
      <c r="E115" s="549" t="e">
        <v>#NUM!</v>
      </c>
      <c r="F115" s="549" t="e">
        <v>#NUM!</v>
      </c>
      <c r="G115" s="549" t="e">
        <v>#NUM!</v>
      </c>
      <c r="H115" s="549" t="e">
        <v>#NUM!</v>
      </c>
      <c r="I115" s="550" t="e">
        <v>#NUM!</v>
      </c>
      <c r="Q115" s="362"/>
    </row>
    <row r="116" spans="3:17" s="355" customFormat="1" x14ac:dyDescent="0.25">
      <c r="C116" s="548" t="e">
        <v>#NUM!</v>
      </c>
      <c r="D116" s="549" t="e">
        <v>#NUM!</v>
      </c>
      <c r="E116" s="549" t="e">
        <v>#NUM!</v>
      </c>
      <c r="F116" s="549" t="e">
        <v>#NUM!</v>
      </c>
      <c r="G116" s="549" t="e">
        <v>#NUM!</v>
      </c>
      <c r="H116" s="549" t="e">
        <v>#NUM!</v>
      </c>
      <c r="I116" s="550" t="e">
        <v>#NUM!</v>
      </c>
      <c r="L116" s="413"/>
      <c r="M116" s="413"/>
      <c r="Q116" s="362"/>
    </row>
    <row r="117" spans="3:17" s="355" customFormat="1" x14ac:dyDescent="0.25">
      <c r="C117" s="548" t="e">
        <v>#NUM!</v>
      </c>
      <c r="D117" s="549" t="e">
        <v>#NUM!</v>
      </c>
      <c r="E117" s="549" t="e">
        <v>#NUM!</v>
      </c>
      <c r="F117" s="549" t="e">
        <v>#NUM!</v>
      </c>
      <c r="G117" s="549" t="e">
        <v>#NUM!</v>
      </c>
      <c r="H117" s="549" t="e">
        <v>#NUM!</v>
      </c>
      <c r="I117" s="550" t="e">
        <v>#NUM!</v>
      </c>
      <c r="Q117" s="362"/>
    </row>
    <row r="118" spans="3:17" s="355" customFormat="1" x14ac:dyDescent="0.25">
      <c r="C118" s="548" t="e">
        <v>#NUM!</v>
      </c>
      <c r="D118" s="549" t="e">
        <v>#NUM!</v>
      </c>
      <c r="E118" s="549" t="e">
        <v>#NUM!</v>
      </c>
      <c r="F118" s="549" t="e">
        <v>#NUM!</v>
      </c>
      <c r="G118" s="549" t="e">
        <v>#NUM!</v>
      </c>
      <c r="H118" s="549" t="e">
        <v>#NUM!</v>
      </c>
      <c r="I118" s="550" t="e">
        <v>#NUM!</v>
      </c>
      <c r="Q118" s="362"/>
    </row>
    <row r="119" spans="3:17" s="355" customFormat="1" x14ac:dyDescent="0.25">
      <c r="C119" s="551" t="e">
        <v>#NUM!</v>
      </c>
      <c r="D119" s="552" t="e">
        <v>#NUM!</v>
      </c>
      <c r="E119" s="552" t="e">
        <v>#NUM!</v>
      </c>
      <c r="F119" s="552" t="e">
        <v>#NUM!</v>
      </c>
      <c r="G119" s="552" t="e">
        <v>#NUM!</v>
      </c>
      <c r="H119" s="552" t="e">
        <v>#NUM!</v>
      </c>
      <c r="I119" s="553" t="e">
        <v>#NUM!</v>
      </c>
      <c r="Q119" s="362"/>
    </row>
    <row r="120" spans="3:17" s="355" customFormat="1" x14ac:dyDescent="0.25">
      <c r="C120" s="432"/>
      <c r="D120" s="432"/>
      <c r="E120" s="432"/>
      <c r="F120" s="432"/>
      <c r="G120" s="432"/>
      <c r="H120" s="432"/>
      <c r="I120" s="432"/>
      <c r="Q120" s="362"/>
    </row>
    <row r="121" spans="3:17" s="355" customFormat="1" x14ac:dyDescent="0.25">
      <c r="C121" s="545" t="e">
        <f t="array" ref="C121:J128">MINVERSE(C51:J58)</f>
        <v>#NUM!</v>
      </c>
      <c r="D121" s="546" t="e">
        <v>#NUM!</v>
      </c>
      <c r="E121" s="546" t="e">
        <v>#NUM!</v>
      </c>
      <c r="F121" s="546" t="e">
        <v>#NUM!</v>
      </c>
      <c r="G121" s="546" t="e">
        <v>#NUM!</v>
      </c>
      <c r="H121" s="546" t="e">
        <v>#NUM!</v>
      </c>
      <c r="I121" s="546" t="e">
        <v>#NUM!</v>
      </c>
      <c r="J121" s="547" t="e">
        <v>#NUM!</v>
      </c>
      <c r="K121" s="432"/>
      <c r="Q121" s="362"/>
    </row>
    <row r="122" spans="3:17" s="355" customFormat="1" x14ac:dyDescent="0.25">
      <c r="C122" s="548" t="e">
        <v>#NUM!</v>
      </c>
      <c r="D122" s="549" t="e">
        <v>#NUM!</v>
      </c>
      <c r="E122" s="549" t="e">
        <v>#NUM!</v>
      </c>
      <c r="F122" s="549" t="e">
        <v>#NUM!</v>
      </c>
      <c r="G122" s="549" t="e">
        <v>#NUM!</v>
      </c>
      <c r="H122" s="549" t="e">
        <v>#NUM!</v>
      </c>
      <c r="I122" s="549" t="e">
        <v>#NUM!</v>
      </c>
      <c r="J122" s="550" t="e">
        <v>#NUM!</v>
      </c>
      <c r="K122" s="432"/>
      <c r="Q122" s="362"/>
    </row>
    <row r="123" spans="3:17" s="355" customFormat="1" x14ac:dyDescent="0.25">
      <c r="C123" s="548" t="e">
        <v>#NUM!</v>
      </c>
      <c r="D123" s="549" t="e">
        <v>#NUM!</v>
      </c>
      <c r="E123" s="549" t="e">
        <v>#NUM!</v>
      </c>
      <c r="F123" s="549" t="e">
        <v>#NUM!</v>
      </c>
      <c r="G123" s="549" t="e">
        <v>#NUM!</v>
      </c>
      <c r="H123" s="549" t="e">
        <v>#NUM!</v>
      </c>
      <c r="I123" s="549" t="e">
        <v>#NUM!</v>
      </c>
      <c r="J123" s="550" t="e">
        <v>#NUM!</v>
      </c>
      <c r="K123" s="432"/>
      <c r="Q123" s="362"/>
    </row>
    <row r="124" spans="3:17" s="355" customFormat="1" x14ac:dyDescent="0.25">
      <c r="C124" s="548" t="e">
        <v>#NUM!</v>
      </c>
      <c r="D124" s="549" t="e">
        <v>#NUM!</v>
      </c>
      <c r="E124" s="549" t="e">
        <v>#NUM!</v>
      </c>
      <c r="F124" s="549" t="e">
        <v>#NUM!</v>
      </c>
      <c r="G124" s="549" t="e">
        <v>#NUM!</v>
      </c>
      <c r="H124" s="549" t="e">
        <v>#NUM!</v>
      </c>
      <c r="I124" s="549" t="e">
        <v>#NUM!</v>
      </c>
      <c r="J124" s="550" t="e">
        <v>#NUM!</v>
      </c>
      <c r="K124" s="432"/>
      <c r="Q124" s="362"/>
    </row>
    <row r="125" spans="3:17" s="355" customFormat="1" x14ac:dyDescent="0.25">
      <c r="C125" s="548" t="e">
        <v>#NUM!</v>
      </c>
      <c r="D125" s="549" t="e">
        <v>#NUM!</v>
      </c>
      <c r="E125" s="549" t="e">
        <v>#NUM!</v>
      </c>
      <c r="F125" s="549" t="e">
        <v>#NUM!</v>
      </c>
      <c r="G125" s="549" t="e">
        <v>#NUM!</v>
      </c>
      <c r="H125" s="549" t="e">
        <v>#NUM!</v>
      </c>
      <c r="I125" s="549" t="e">
        <v>#NUM!</v>
      </c>
      <c r="J125" s="550" t="e">
        <v>#NUM!</v>
      </c>
      <c r="K125" s="432"/>
      <c r="Q125" s="362"/>
    </row>
    <row r="126" spans="3:17" s="355" customFormat="1" x14ac:dyDescent="0.25">
      <c r="C126" s="548" t="e">
        <v>#NUM!</v>
      </c>
      <c r="D126" s="549" t="e">
        <v>#NUM!</v>
      </c>
      <c r="E126" s="549" t="e">
        <v>#NUM!</v>
      </c>
      <c r="F126" s="549" t="e">
        <v>#NUM!</v>
      </c>
      <c r="G126" s="549" t="e">
        <v>#NUM!</v>
      </c>
      <c r="H126" s="549" t="e">
        <v>#NUM!</v>
      </c>
      <c r="I126" s="549" t="e">
        <v>#NUM!</v>
      </c>
      <c r="J126" s="550" t="e">
        <v>#NUM!</v>
      </c>
      <c r="K126" s="432"/>
      <c r="Q126" s="362"/>
    </row>
    <row r="127" spans="3:17" s="355" customFormat="1" x14ac:dyDescent="0.25">
      <c r="C127" s="548" t="e">
        <v>#NUM!</v>
      </c>
      <c r="D127" s="549" t="e">
        <v>#NUM!</v>
      </c>
      <c r="E127" s="549" t="e">
        <v>#NUM!</v>
      </c>
      <c r="F127" s="549" t="e">
        <v>#NUM!</v>
      </c>
      <c r="G127" s="549" t="e">
        <v>#NUM!</v>
      </c>
      <c r="H127" s="549" t="e">
        <v>#NUM!</v>
      </c>
      <c r="I127" s="549" t="e">
        <v>#NUM!</v>
      </c>
      <c r="J127" s="550" t="e">
        <v>#NUM!</v>
      </c>
      <c r="K127" s="432"/>
      <c r="Q127" s="362"/>
    </row>
    <row r="128" spans="3:17" s="355" customFormat="1" x14ac:dyDescent="0.25">
      <c r="C128" s="551" t="e">
        <v>#NUM!</v>
      </c>
      <c r="D128" s="552" t="e">
        <v>#NUM!</v>
      </c>
      <c r="E128" s="552" t="e">
        <v>#NUM!</v>
      </c>
      <c r="F128" s="552" t="e">
        <v>#NUM!</v>
      </c>
      <c r="G128" s="552" t="e">
        <v>#NUM!</v>
      </c>
      <c r="H128" s="552" t="e">
        <v>#NUM!</v>
      </c>
      <c r="I128" s="552" t="e">
        <v>#NUM!</v>
      </c>
      <c r="J128" s="553" t="e">
        <v>#NUM!</v>
      </c>
      <c r="K128" s="432"/>
      <c r="Q128" s="362"/>
    </row>
    <row r="129" spans="3:17" s="355" customFormat="1" x14ac:dyDescent="0.25">
      <c r="C129" s="432"/>
      <c r="D129" s="432"/>
      <c r="E129" s="432"/>
      <c r="F129" s="432"/>
      <c r="G129" s="432"/>
      <c r="H129" s="432"/>
      <c r="I129" s="432"/>
      <c r="J129" s="432"/>
      <c r="K129" s="432"/>
      <c r="Q129" s="362"/>
    </row>
    <row r="130" spans="3:17" s="355" customFormat="1" x14ac:dyDescent="0.25">
      <c r="C130" s="545" t="e">
        <f t="array" ref="C130:K138">MINVERSE(C51:K59)</f>
        <v>#NUM!</v>
      </c>
      <c r="D130" s="546" t="e">
        <v>#NUM!</v>
      </c>
      <c r="E130" s="546" t="e">
        <v>#NUM!</v>
      </c>
      <c r="F130" s="546" t="e">
        <v>#NUM!</v>
      </c>
      <c r="G130" s="546" t="e">
        <v>#NUM!</v>
      </c>
      <c r="H130" s="546" t="e">
        <v>#NUM!</v>
      </c>
      <c r="I130" s="546" t="e">
        <v>#NUM!</v>
      </c>
      <c r="J130" s="546" t="e">
        <v>#NUM!</v>
      </c>
      <c r="K130" s="547" t="e">
        <v>#NUM!</v>
      </c>
      <c r="Q130" s="362"/>
    </row>
    <row r="131" spans="3:17" s="355" customFormat="1" x14ac:dyDescent="0.25">
      <c r="C131" s="548" t="e">
        <v>#NUM!</v>
      </c>
      <c r="D131" s="549" t="e">
        <v>#NUM!</v>
      </c>
      <c r="E131" s="549" t="e">
        <v>#NUM!</v>
      </c>
      <c r="F131" s="549" t="e">
        <v>#NUM!</v>
      </c>
      <c r="G131" s="549" t="e">
        <v>#NUM!</v>
      </c>
      <c r="H131" s="549" t="e">
        <v>#NUM!</v>
      </c>
      <c r="I131" s="549" t="e">
        <v>#NUM!</v>
      </c>
      <c r="J131" s="549" t="e">
        <v>#NUM!</v>
      </c>
      <c r="K131" s="550" t="e">
        <v>#NUM!</v>
      </c>
      <c r="Q131" s="362"/>
    </row>
    <row r="132" spans="3:17" s="355" customFormat="1" x14ac:dyDescent="0.25">
      <c r="C132" s="548" t="e">
        <v>#NUM!</v>
      </c>
      <c r="D132" s="549" t="e">
        <v>#NUM!</v>
      </c>
      <c r="E132" s="549" t="e">
        <v>#NUM!</v>
      </c>
      <c r="F132" s="549" t="e">
        <v>#NUM!</v>
      </c>
      <c r="G132" s="549" t="e">
        <v>#NUM!</v>
      </c>
      <c r="H132" s="549" t="e">
        <v>#NUM!</v>
      </c>
      <c r="I132" s="549" t="e">
        <v>#NUM!</v>
      </c>
      <c r="J132" s="549" t="e">
        <v>#NUM!</v>
      </c>
      <c r="K132" s="550" t="e">
        <v>#NUM!</v>
      </c>
      <c r="Q132" s="362"/>
    </row>
    <row r="133" spans="3:17" s="355" customFormat="1" x14ac:dyDescent="0.25">
      <c r="C133" s="548" t="e">
        <v>#NUM!</v>
      </c>
      <c r="D133" s="549" t="e">
        <v>#NUM!</v>
      </c>
      <c r="E133" s="549" t="e">
        <v>#NUM!</v>
      </c>
      <c r="F133" s="549" t="e">
        <v>#NUM!</v>
      </c>
      <c r="G133" s="549" t="e">
        <v>#NUM!</v>
      </c>
      <c r="H133" s="549" t="e">
        <v>#NUM!</v>
      </c>
      <c r="I133" s="549" t="e">
        <v>#NUM!</v>
      </c>
      <c r="J133" s="549" t="e">
        <v>#NUM!</v>
      </c>
      <c r="K133" s="550" t="e">
        <v>#NUM!</v>
      </c>
      <c r="Q133" s="362"/>
    </row>
    <row r="134" spans="3:17" s="355" customFormat="1" x14ac:dyDescent="0.25">
      <c r="C134" s="548" t="e">
        <v>#NUM!</v>
      </c>
      <c r="D134" s="549" t="e">
        <v>#NUM!</v>
      </c>
      <c r="E134" s="549" t="e">
        <v>#NUM!</v>
      </c>
      <c r="F134" s="549" t="e">
        <v>#NUM!</v>
      </c>
      <c r="G134" s="549" t="e">
        <v>#NUM!</v>
      </c>
      <c r="H134" s="549" t="e">
        <v>#NUM!</v>
      </c>
      <c r="I134" s="549" t="e">
        <v>#NUM!</v>
      </c>
      <c r="J134" s="549" t="e">
        <v>#NUM!</v>
      </c>
      <c r="K134" s="550" t="e">
        <v>#NUM!</v>
      </c>
      <c r="Q134" s="362"/>
    </row>
    <row r="135" spans="3:17" s="355" customFormat="1" x14ac:dyDescent="0.25">
      <c r="C135" s="548" t="e">
        <v>#NUM!</v>
      </c>
      <c r="D135" s="549" t="e">
        <v>#NUM!</v>
      </c>
      <c r="E135" s="549" t="e">
        <v>#NUM!</v>
      </c>
      <c r="F135" s="549" t="e">
        <v>#NUM!</v>
      </c>
      <c r="G135" s="549" t="e">
        <v>#NUM!</v>
      </c>
      <c r="H135" s="549" t="e">
        <v>#NUM!</v>
      </c>
      <c r="I135" s="549" t="e">
        <v>#NUM!</v>
      </c>
      <c r="J135" s="549" t="e">
        <v>#NUM!</v>
      </c>
      <c r="K135" s="550" t="e">
        <v>#NUM!</v>
      </c>
      <c r="Q135" s="362"/>
    </row>
    <row r="136" spans="3:17" s="355" customFormat="1" x14ac:dyDescent="0.25">
      <c r="C136" s="548" t="e">
        <v>#NUM!</v>
      </c>
      <c r="D136" s="549" t="e">
        <v>#NUM!</v>
      </c>
      <c r="E136" s="549" t="e">
        <v>#NUM!</v>
      </c>
      <c r="F136" s="549" t="e">
        <v>#NUM!</v>
      </c>
      <c r="G136" s="549" t="e">
        <v>#NUM!</v>
      </c>
      <c r="H136" s="549" t="e">
        <v>#NUM!</v>
      </c>
      <c r="I136" s="549" t="e">
        <v>#NUM!</v>
      </c>
      <c r="J136" s="549" t="e">
        <v>#NUM!</v>
      </c>
      <c r="K136" s="550" t="e">
        <v>#NUM!</v>
      </c>
      <c r="Q136" s="362"/>
    </row>
    <row r="137" spans="3:17" s="355" customFormat="1" x14ac:dyDescent="0.25">
      <c r="C137" s="548" t="e">
        <v>#NUM!</v>
      </c>
      <c r="D137" s="549" t="e">
        <v>#NUM!</v>
      </c>
      <c r="E137" s="549" t="e">
        <v>#NUM!</v>
      </c>
      <c r="F137" s="549" t="e">
        <v>#NUM!</v>
      </c>
      <c r="G137" s="549" t="e">
        <v>#NUM!</v>
      </c>
      <c r="H137" s="549" t="e">
        <v>#NUM!</v>
      </c>
      <c r="I137" s="549" t="e">
        <v>#NUM!</v>
      </c>
      <c r="J137" s="549" t="e">
        <v>#NUM!</v>
      </c>
      <c r="K137" s="550" t="e">
        <v>#NUM!</v>
      </c>
      <c r="Q137" s="362"/>
    </row>
    <row r="138" spans="3:17" s="355" customFormat="1" x14ac:dyDescent="0.25">
      <c r="C138" s="551" t="e">
        <v>#NUM!</v>
      </c>
      <c r="D138" s="552" t="e">
        <v>#NUM!</v>
      </c>
      <c r="E138" s="552" t="e">
        <v>#NUM!</v>
      </c>
      <c r="F138" s="552" t="e">
        <v>#NUM!</v>
      </c>
      <c r="G138" s="552" t="e">
        <v>#NUM!</v>
      </c>
      <c r="H138" s="552" t="e">
        <v>#NUM!</v>
      </c>
      <c r="I138" s="552" t="e">
        <v>#NUM!</v>
      </c>
      <c r="J138" s="552" t="e">
        <v>#NUM!</v>
      </c>
      <c r="K138" s="553" t="e">
        <v>#NUM!</v>
      </c>
      <c r="Q138" s="362"/>
    </row>
    <row r="139" spans="3:17" s="355" customFormat="1" x14ac:dyDescent="0.25">
      <c r="Q139" s="362"/>
    </row>
  </sheetData>
  <sheetProtection formatCells="0" formatColumns="0" formatRows="0"/>
  <mergeCells count="5">
    <mergeCell ref="R48:S48"/>
    <mergeCell ref="B2:M2"/>
    <mergeCell ref="C4:L4"/>
    <mergeCell ref="C18:H18"/>
    <mergeCell ref="G19:H19"/>
  </mergeCells>
  <pageMargins left="0.7" right="0.7" top="0.75" bottom="0.75" header="0.3" footer="0.3"/>
  <ignoredErrors>
    <ignoredError sqref="C20:D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20"/>
  <sheetViews>
    <sheetView workbookViewId="0">
      <selection activeCell="B31" sqref="B31"/>
    </sheetView>
  </sheetViews>
  <sheetFormatPr defaultRowHeight="15" x14ac:dyDescent="0.25"/>
  <cols>
    <col min="1" max="1" width="12.28515625" style="62" customWidth="1"/>
    <col min="2" max="2" width="12.42578125" style="62" customWidth="1"/>
    <col min="3" max="3" width="14.42578125" style="62" customWidth="1"/>
    <col min="4" max="4" width="13.28515625" style="62" bestFit="1" customWidth="1"/>
    <col min="5" max="5" width="13" style="62" customWidth="1"/>
    <col min="6" max="6" width="12" style="62" customWidth="1"/>
    <col min="7" max="7" width="13.42578125" style="62" customWidth="1"/>
    <col min="8" max="8" width="11.42578125" style="62" bestFit="1" customWidth="1"/>
    <col min="9" max="9" width="10.42578125" style="62" customWidth="1"/>
    <col min="10" max="10" width="13.7109375" style="62" customWidth="1"/>
    <col min="11" max="11" width="10" style="62" customWidth="1"/>
    <col min="12" max="12" width="11.85546875" style="62" customWidth="1"/>
    <col min="13" max="13" width="13.140625" style="62" customWidth="1"/>
    <col min="14" max="14" width="11.85546875" style="62" customWidth="1"/>
    <col min="15" max="15" width="13.7109375" style="62" customWidth="1"/>
    <col min="16" max="16" width="6.85546875" style="62" customWidth="1"/>
    <col min="17" max="17" width="15.5703125" style="62" customWidth="1"/>
    <col min="18" max="18" width="12.7109375" style="62" customWidth="1"/>
    <col min="19" max="19" width="12" style="62" customWidth="1"/>
    <col min="20" max="23" width="10.7109375" style="62" customWidth="1"/>
    <col min="24" max="24" width="12.5703125" style="62" bestFit="1" customWidth="1"/>
    <col min="25" max="25" width="11" style="62" customWidth="1"/>
    <col min="26" max="32" width="9.7109375" style="62" customWidth="1"/>
    <col min="33" max="16384" width="9.140625" style="62"/>
  </cols>
  <sheetData>
    <row r="1" spans="1:16" ht="21" x14ac:dyDescent="0.35">
      <c r="A1" s="950" t="s">
        <v>167</v>
      </c>
      <c r="B1" s="951"/>
      <c r="C1" s="951"/>
      <c r="D1" s="951"/>
      <c r="E1" s="952"/>
      <c r="F1" s="185"/>
    </row>
    <row r="2" spans="1:16" ht="15.75" x14ac:dyDescent="0.25">
      <c r="A2" s="640"/>
      <c r="B2" s="640"/>
      <c r="C2" s="77"/>
      <c r="D2" s="953" t="s">
        <v>153</v>
      </c>
      <c r="E2" s="953"/>
      <c r="F2" s="954"/>
      <c r="G2" s="954"/>
      <c r="H2" s="954"/>
      <c r="I2" s="954"/>
      <c r="J2" s="954"/>
      <c r="K2" s="954"/>
      <c r="L2" s="954"/>
      <c r="M2" s="954"/>
    </row>
    <row r="3" spans="1:16" ht="15.75" x14ac:dyDescent="0.25">
      <c r="A3" s="641" t="s">
        <v>16</v>
      </c>
      <c r="B3" s="642" t="s">
        <v>27</v>
      </c>
      <c r="C3" s="77"/>
      <c r="D3" s="642">
        <v>0</v>
      </c>
      <c r="E3" s="642">
        <v>1</v>
      </c>
      <c r="F3" s="642">
        <v>2</v>
      </c>
      <c r="G3" s="642">
        <v>3</v>
      </c>
      <c r="H3" s="642">
        <v>4</v>
      </c>
      <c r="I3" s="642">
        <v>5</v>
      </c>
      <c r="J3" s="642">
        <v>6</v>
      </c>
      <c r="K3" s="642">
        <v>7</v>
      </c>
      <c r="L3" s="642">
        <v>8</v>
      </c>
      <c r="M3" s="642">
        <v>9</v>
      </c>
      <c r="N3" s="65" t="s">
        <v>3</v>
      </c>
      <c r="O3" s="195" t="str">
        <f>IF(COUNTBLANK(O4:O13)=10,"","Warning:")</f>
        <v/>
      </c>
    </row>
    <row r="4" spans="1:16" x14ac:dyDescent="0.25">
      <c r="A4" s="643">
        <f>IF(Solve_RRC!C35="","",Solve_RRC!C35)</f>
        <v>0</v>
      </c>
      <c r="B4" s="643">
        <f>IF(Solve_RRC!D35="","",Solve_RRC!D35)</f>
        <v>0</v>
      </c>
      <c r="C4" s="644" t="s">
        <v>5</v>
      </c>
      <c r="D4" s="645">
        <f>IF(Solve_RRC!C6="",0,Solve_RRC!C6)</f>
        <v>0.156</v>
      </c>
      <c r="E4" s="646">
        <f>IF(Solve_RRC!D6="",0,Solve_RRC!D6)</f>
        <v>0.33300000000000002</v>
      </c>
      <c r="F4" s="646">
        <f>IF(Solve_RRC!E6="",0,Solve_RRC!E6)</f>
        <v>0.25900000000000001</v>
      </c>
      <c r="G4" s="646">
        <f>IF(Solve_RRC!F6="",0,Solve_RRC!F6)</f>
        <v>0.115</v>
      </c>
      <c r="H4" s="646">
        <f>IF(Solve_RRC!G6="",0,Solve_RRC!G6)</f>
        <v>9.8000000000000004E-2</v>
      </c>
      <c r="I4" s="646">
        <f>IF(Solve_RRC!H6="",0,Solve_RRC!H6)</f>
        <v>3.9E-2</v>
      </c>
      <c r="J4" s="646">
        <f>IF(Solve_RRC!I6="",0,Solve_RRC!I6)</f>
        <v>0</v>
      </c>
      <c r="K4" s="646">
        <f>IF(Solve_RRC!J6="",0,Solve_RRC!J6)</f>
        <v>0</v>
      </c>
      <c r="L4" s="646">
        <f>IF(Solve_RRC!K6="",0,Solve_RRC!K6)</f>
        <v>0</v>
      </c>
      <c r="M4" s="647">
        <f>IF(Solve_RRC!L6="",0,Solve_RRC!L6)</f>
        <v>0</v>
      </c>
      <c r="N4" s="146">
        <f>SUM(D4:M4)</f>
        <v>1</v>
      </c>
      <c r="O4" s="189" t="str">
        <f t="shared" ref="O4:O13" si="0">IF(N4=0,"",IF(ABS(N4-1)&lt;tol_Pr,"","**P(C|X) ≠ 1**"))</f>
        <v/>
      </c>
      <c r="P4" s="188">
        <f>COUNTIF(D4:M4,"&gt;0")</f>
        <v>6</v>
      </c>
    </row>
    <row r="5" spans="1:16" x14ac:dyDescent="0.25">
      <c r="A5" s="648">
        <f>IF(Solve_RRC!C36="","",Solve_RRC!C36)</f>
        <v>0.26</v>
      </c>
      <c r="B5" s="648">
        <f>IF(Solve_RRC!D36="","",Solve_RRC!D36)</f>
        <v>0.16177559999999999</v>
      </c>
      <c r="C5" s="644" t="s">
        <v>6</v>
      </c>
      <c r="D5" s="649">
        <f>IF(Solve_RRC!C7="",0,Solve_RRC!C7)</f>
        <v>0.20300000000000001</v>
      </c>
      <c r="E5" s="650">
        <f>IF(Solve_RRC!D7="",0,Solve_RRC!D7)</f>
        <v>0.34</v>
      </c>
      <c r="F5" s="650">
        <f>IF(Solve_RRC!E7="",0,Solve_RRC!E7)</f>
        <v>0.23499999999999999</v>
      </c>
      <c r="G5" s="650">
        <f>IF(Solve_RRC!F7="",0,Solve_RRC!F7)</f>
        <v>0.10299999999999999</v>
      </c>
      <c r="H5" s="650">
        <f>IF(Solve_RRC!G7="",0,Solve_RRC!G7)</f>
        <v>8.3000000000000004E-2</v>
      </c>
      <c r="I5" s="650">
        <f>IF(Solve_RRC!H7="",0,Solve_RRC!H7)</f>
        <v>3.5999999999999997E-2</v>
      </c>
      <c r="J5" s="650">
        <f>IF(Solve_RRC!I7="",0,Solve_RRC!I7)</f>
        <v>0</v>
      </c>
      <c r="K5" s="650">
        <f>IF(Solve_RRC!J7="",0,Solve_RRC!J7)</f>
        <v>0</v>
      </c>
      <c r="L5" s="650">
        <f>IF(Solve_RRC!K7="",0,Solve_RRC!K7)</f>
        <v>0</v>
      </c>
      <c r="M5" s="651">
        <f>IF(Solve_RRC!L7="",0,Solve_RRC!L7)</f>
        <v>0</v>
      </c>
      <c r="N5" s="147">
        <f t="shared" ref="N5:N13" si="1">SUM(D5:M5)</f>
        <v>1</v>
      </c>
      <c r="O5" s="187" t="str">
        <f t="shared" si="0"/>
        <v/>
      </c>
      <c r="P5" s="64">
        <f t="shared" ref="P5:P13" si="2">COUNTIF(D5:M5,"&gt;0")</f>
        <v>6</v>
      </c>
    </row>
    <row r="6" spans="1:16" x14ac:dyDescent="0.25">
      <c r="A6" s="648">
        <f>IF(Solve_RRC!C37="","",Solve_RRC!C37)</f>
        <v>0.59000000000000008</v>
      </c>
      <c r="B6" s="648">
        <f>IF(Solve_RRC!D37="","",Solve_RRC!D37)</f>
        <v>0.36434540000000004</v>
      </c>
      <c r="C6" s="644" t="s">
        <v>7</v>
      </c>
      <c r="D6" s="649">
        <f>IF(Solve_RRC!C8="",0,Solve_RRC!C8)</f>
        <v>0.25600000000000001</v>
      </c>
      <c r="E6" s="650">
        <f>IF(Solve_RRC!D8="",0,Solve_RRC!D8)</f>
        <v>0.36699999999999999</v>
      </c>
      <c r="F6" s="650">
        <f>IF(Solve_RRC!E8="",0,Solve_RRC!E8)</f>
        <v>0.20200000000000001</v>
      </c>
      <c r="G6" s="650">
        <f>IF(Solve_RRC!F8="",0,Solve_RRC!F8)</f>
        <v>7.9000000000000001E-2</v>
      </c>
      <c r="H6" s="650">
        <f>IF(Solve_RRC!G8="",0,Solve_RRC!G8)</f>
        <v>6.7000000000000004E-2</v>
      </c>
      <c r="I6" s="650">
        <f>IF(Solve_RRC!H8="",0,Solve_RRC!H8)</f>
        <v>2.9000000000000001E-2</v>
      </c>
      <c r="J6" s="650">
        <f>IF(Solve_RRC!I8="",0,Solve_RRC!I8)</f>
        <v>0</v>
      </c>
      <c r="K6" s="650">
        <f>IF(Solve_RRC!J8="",0,Solve_RRC!J8)</f>
        <v>0</v>
      </c>
      <c r="L6" s="650">
        <f>IF(Solve_RRC!K8="",0,Solve_RRC!K8)</f>
        <v>0</v>
      </c>
      <c r="M6" s="651">
        <f>IF(Solve_RRC!L8="",0,Solve_RRC!L8)</f>
        <v>0</v>
      </c>
      <c r="N6" s="147">
        <f t="shared" si="1"/>
        <v>0.99999999999999989</v>
      </c>
      <c r="O6" s="187" t="str">
        <f t="shared" si="0"/>
        <v/>
      </c>
      <c r="P6" s="64">
        <f t="shared" si="2"/>
        <v>6</v>
      </c>
    </row>
    <row r="7" spans="1:16" x14ac:dyDescent="0.25">
      <c r="A7" s="648">
        <f>IF(Solve_RRC!C38="",0,Solve_RRC!C38)</f>
        <v>0.66999999999999993</v>
      </c>
      <c r="B7" s="648">
        <f>IF(Solve_RRC!D38="",0,Solve_RRC!D38)</f>
        <v>0.43643019999999999</v>
      </c>
      <c r="C7" s="644" t="s">
        <v>8</v>
      </c>
      <c r="D7" s="649">
        <f>IF(Solve_RRC!C9="",0,Solve_RRC!C9)</f>
        <v>0.24</v>
      </c>
      <c r="E7" s="650">
        <f>IF(Solve_RRC!D9="",0,Solve_RRC!D9)</f>
        <v>0.35399999999999998</v>
      </c>
      <c r="F7" s="650">
        <f>IF(Solve_RRC!E9="",0,Solve_RRC!E9)</f>
        <v>0.20100000000000001</v>
      </c>
      <c r="G7" s="650">
        <f>IF(Solve_RRC!F9="",0,Solve_RRC!F9)</f>
        <v>8.7999999999999995E-2</v>
      </c>
      <c r="H7" s="650">
        <f>IF(Solve_RRC!G9="",0,Solve_RRC!G9)</f>
        <v>8.5999999999999993E-2</v>
      </c>
      <c r="I7" s="650">
        <f>IF(Solve_RRC!H9="",0,Solve_RRC!H9)</f>
        <v>3.1E-2</v>
      </c>
      <c r="J7" s="650">
        <f>IF(Solve_RRC!I9="",0,Solve_RRC!I9)</f>
        <v>0</v>
      </c>
      <c r="K7" s="650">
        <f>IF(Solve_RRC!J9="",0,Solve_RRC!J9)</f>
        <v>0</v>
      </c>
      <c r="L7" s="650">
        <f>IF(Solve_RRC!K9="",0,Solve_RRC!K9)</f>
        <v>0</v>
      </c>
      <c r="M7" s="651">
        <f>IF(Solve_RRC!L9="",0,Solve_RRC!L9)</f>
        <v>0</v>
      </c>
      <c r="N7" s="147">
        <f t="shared" si="1"/>
        <v>0.99999999999999989</v>
      </c>
      <c r="O7" s="187" t="str">
        <f t="shared" si="0"/>
        <v/>
      </c>
      <c r="P7" s="64">
        <f t="shared" si="2"/>
        <v>6</v>
      </c>
    </row>
    <row r="8" spans="1:16" x14ac:dyDescent="0.25">
      <c r="A8" s="648">
        <f>IF(Solve_RRC!C39="",0,Solve_RRC!C39)</f>
        <v>0.98</v>
      </c>
      <c r="B8" s="648">
        <f>IF(Solve_RRC!D39="",0,Solve_RRC!D39)</f>
        <v>0.64971879999999993</v>
      </c>
      <c r="C8" s="644" t="s">
        <v>9</v>
      </c>
      <c r="D8" s="649">
        <f>IF(Solve_RRC!C10="",0,Solve_RRC!C10)</f>
        <v>0.254</v>
      </c>
      <c r="E8" s="650">
        <f>IF(Solve_RRC!D10="",0,Solve_RRC!D10)</f>
        <v>0.35</v>
      </c>
      <c r="F8" s="650">
        <f>IF(Solve_RRC!E10="",0,Solve_RRC!E10)</f>
        <v>0.21</v>
      </c>
      <c r="G8" s="650">
        <f>IF(Solve_RRC!F10="",0,Solve_RRC!F10)</f>
        <v>8.6999999999999994E-2</v>
      </c>
      <c r="H8" s="650">
        <f>IF(Solve_RRC!G10="",0,Solve_RRC!G10)</f>
        <v>6.3E-2</v>
      </c>
      <c r="I8" s="650">
        <f>IF(Solve_RRC!H10="",0,Solve_RRC!H10)</f>
        <v>3.5999999999999997E-2</v>
      </c>
      <c r="J8" s="650">
        <f>IF(Solve_RRC!I10="",0,Solve_RRC!I10)</f>
        <v>0</v>
      </c>
      <c r="K8" s="650">
        <f>IF(Solve_RRC!J10="",0,Solve_RRC!J10)</f>
        <v>0</v>
      </c>
      <c r="L8" s="650">
        <f>IF(Solve_RRC!K10="",0,Solve_RRC!K10)</f>
        <v>0</v>
      </c>
      <c r="M8" s="651">
        <f>IF(Solve_RRC!L10="",0,Solve_RRC!L10)</f>
        <v>0</v>
      </c>
      <c r="N8" s="147">
        <f t="shared" si="1"/>
        <v>1</v>
      </c>
      <c r="O8" s="187" t="str">
        <f t="shared" si="0"/>
        <v/>
      </c>
      <c r="P8" s="64">
        <f t="shared" si="2"/>
        <v>6</v>
      </c>
    </row>
    <row r="9" spans="1:16" x14ac:dyDescent="0.25">
      <c r="A9" s="648">
        <f>IF(Solve_RRC!C40="",0,Solve_RRC!C40)</f>
        <v>1.1800000000000002</v>
      </c>
      <c r="B9" s="648">
        <f>IF(Solve_RRC!D40="",0,Solve_RRC!D40)</f>
        <v>0.80649080000000017</v>
      </c>
      <c r="C9" s="644" t="s">
        <v>10</v>
      </c>
      <c r="D9" s="649">
        <f>IF(Solve_RRC!C11="",0,Solve_RRC!C11)</f>
        <v>0.23799999999999999</v>
      </c>
      <c r="E9" s="650">
        <f>IF(Solve_RRC!D11="",0,Solve_RRC!D11)</f>
        <v>0.35699999999999998</v>
      </c>
      <c r="F9" s="650">
        <f>IF(Solve_RRC!E11="",0,Solve_RRC!E11)</f>
        <v>0.191</v>
      </c>
      <c r="G9" s="650">
        <f>IF(Solve_RRC!F11="",0,Solve_RRC!F11)</f>
        <v>7.6999999999999999E-2</v>
      </c>
      <c r="H9" s="650">
        <f>IF(Solve_RRC!G11="",0,Solve_RRC!G11)</f>
        <v>8.7999999999999995E-2</v>
      </c>
      <c r="I9" s="650">
        <f>IF(Solve_RRC!H11="",0,Solve_RRC!H11)</f>
        <v>4.9000000000000002E-2</v>
      </c>
      <c r="J9" s="650">
        <f>IF(Solve_RRC!I11="",0,Solve_RRC!I11)</f>
        <v>0</v>
      </c>
      <c r="K9" s="650">
        <f>IF(Solve_RRC!J11="",0,Solve_RRC!J11)</f>
        <v>0</v>
      </c>
      <c r="L9" s="650">
        <f>IF(Solve_RRC!K11="",0,Solve_RRC!K11)</f>
        <v>0</v>
      </c>
      <c r="M9" s="651">
        <f>IF(Solve_RRC!L11="",0,Solve_RRC!L11)</f>
        <v>0</v>
      </c>
      <c r="N9" s="147">
        <f t="shared" si="1"/>
        <v>1</v>
      </c>
      <c r="O9" s="187" t="str">
        <f t="shared" si="0"/>
        <v/>
      </c>
      <c r="P9" s="64">
        <f t="shared" si="2"/>
        <v>6</v>
      </c>
    </row>
    <row r="10" spans="1:16" x14ac:dyDescent="0.25">
      <c r="A10" s="648">
        <f>IF(Solve_RRC!C41="",0,Solve_RRC!C41)</f>
        <v>0</v>
      </c>
      <c r="B10" s="648">
        <f>IF(Solve_RRC!D41="",0,Solve_RRC!D41)</f>
        <v>0</v>
      </c>
      <c r="C10" s="644" t="s">
        <v>11</v>
      </c>
      <c r="D10" s="649">
        <f>IF(Solve_RRC!C12="",0,Solve_RRC!C12)</f>
        <v>0</v>
      </c>
      <c r="E10" s="650">
        <f>IF(Solve_RRC!D12="",0,Solve_RRC!D12)</f>
        <v>0</v>
      </c>
      <c r="F10" s="650">
        <f>IF(Solve_RRC!E12="",0,Solve_RRC!E12)</f>
        <v>0</v>
      </c>
      <c r="G10" s="650">
        <f>IF(Solve_RRC!F12="",0,Solve_RRC!F12)</f>
        <v>0</v>
      </c>
      <c r="H10" s="650">
        <f>IF(Solve_RRC!G12="",0,Solve_RRC!G12)</f>
        <v>0</v>
      </c>
      <c r="I10" s="650">
        <f>IF(Solve_RRC!H12="",0,Solve_RRC!H12)</f>
        <v>0</v>
      </c>
      <c r="J10" s="650">
        <f>IF(Solve_RRC!I12="",0,Solve_RRC!I12)</f>
        <v>0</v>
      </c>
      <c r="K10" s="650">
        <f>IF(Solve_RRC!J12="",0,Solve_RRC!J12)</f>
        <v>0</v>
      </c>
      <c r="L10" s="650">
        <f>IF(Solve_RRC!K12="",0,Solve_RRC!K12)</f>
        <v>0</v>
      </c>
      <c r="M10" s="651">
        <f>IF(Solve_RRC!L12="",0,Solve_RRC!L12)</f>
        <v>0</v>
      </c>
      <c r="N10" s="147">
        <f t="shared" si="1"/>
        <v>0</v>
      </c>
      <c r="O10" s="187" t="str">
        <f t="shared" si="0"/>
        <v/>
      </c>
      <c r="P10" s="64">
        <f t="shared" si="2"/>
        <v>0</v>
      </c>
    </row>
    <row r="11" spans="1:16" x14ac:dyDescent="0.25">
      <c r="A11" s="648">
        <f>IF(Solve_RRC!C42="",0,Solve_RRC!C42)</f>
        <v>0</v>
      </c>
      <c r="B11" s="648">
        <f>IF(Solve_RRC!D42="",0,Solve_RRC!D42)</f>
        <v>0</v>
      </c>
      <c r="C11" s="644" t="s">
        <v>12</v>
      </c>
      <c r="D11" s="649">
        <f>IF(Solve_RRC!C13="",0,Solve_RRC!C13)</f>
        <v>0</v>
      </c>
      <c r="E11" s="650">
        <f>IF(Solve_RRC!D13="",0,Solve_RRC!D13)</f>
        <v>0</v>
      </c>
      <c r="F11" s="650">
        <f>IF(Solve_RRC!E13="",0,Solve_RRC!E13)</f>
        <v>0</v>
      </c>
      <c r="G11" s="650">
        <f>IF(Solve_RRC!F13="",0,Solve_RRC!F13)</f>
        <v>0</v>
      </c>
      <c r="H11" s="650">
        <f>IF(Solve_RRC!G13="",0,Solve_RRC!G13)</f>
        <v>0</v>
      </c>
      <c r="I11" s="650">
        <f>IF(Solve_RRC!H13="",0,Solve_RRC!H13)</f>
        <v>0</v>
      </c>
      <c r="J11" s="650">
        <f>IF(Solve_RRC!I13="",0,Solve_RRC!I13)</f>
        <v>0</v>
      </c>
      <c r="K11" s="650">
        <f>IF(Solve_RRC!J13="",0,Solve_RRC!J13)</f>
        <v>0</v>
      </c>
      <c r="L11" s="650">
        <f>IF(Solve_RRC!K13="",0,Solve_RRC!K13)</f>
        <v>0</v>
      </c>
      <c r="M11" s="651">
        <f>IF(Solve_RRC!L13="",0,Solve_RRC!L13)</f>
        <v>0</v>
      </c>
      <c r="N11" s="147">
        <f t="shared" si="1"/>
        <v>0</v>
      </c>
      <c r="O11" s="187" t="str">
        <f t="shared" si="0"/>
        <v/>
      </c>
      <c r="P11" s="64">
        <f t="shared" si="2"/>
        <v>0</v>
      </c>
    </row>
    <row r="12" spans="1:16" x14ac:dyDescent="0.25">
      <c r="A12" s="648">
        <f>IF(Solve_RRC!C43="",0,Solve_RRC!C43)</f>
        <v>0</v>
      </c>
      <c r="B12" s="648">
        <f>IF(Solve_RRC!D43="",0,Solve_RRC!D43)</f>
        <v>0</v>
      </c>
      <c r="C12" s="644" t="s">
        <v>13</v>
      </c>
      <c r="D12" s="649">
        <f>IF(Solve_RRC!C14="",0,Solve_RRC!C14)</f>
        <v>0</v>
      </c>
      <c r="E12" s="650">
        <f>IF(Solve_RRC!D14="",0,Solve_RRC!D14)</f>
        <v>0</v>
      </c>
      <c r="F12" s="650">
        <f>IF(Solve_RRC!E14="",0,Solve_RRC!E14)</f>
        <v>0</v>
      </c>
      <c r="G12" s="650">
        <f>IF(Solve_RRC!F14="",0,Solve_RRC!F14)</f>
        <v>0</v>
      </c>
      <c r="H12" s="650">
        <f>IF(Solve_RRC!G14="",0,Solve_RRC!G14)</f>
        <v>0</v>
      </c>
      <c r="I12" s="650">
        <f>IF(Solve_RRC!H14="",0,Solve_RRC!H14)</f>
        <v>0</v>
      </c>
      <c r="J12" s="650">
        <f>IF(Solve_RRC!I14="",0,Solve_RRC!I14)</f>
        <v>0</v>
      </c>
      <c r="K12" s="650">
        <f>IF(Solve_RRC!J14="",0,Solve_RRC!J14)</f>
        <v>0</v>
      </c>
      <c r="L12" s="650">
        <f>IF(Solve_RRC!K14="",0,Solve_RRC!K14)</f>
        <v>0</v>
      </c>
      <c r="M12" s="651">
        <f>IF(Solve_RRC!L14="",0,Solve_RRC!L14)</f>
        <v>0</v>
      </c>
      <c r="N12" s="147">
        <f t="shared" si="1"/>
        <v>0</v>
      </c>
      <c r="O12" s="187" t="str">
        <f t="shared" si="0"/>
        <v/>
      </c>
      <c r="P12" s="64">
        <f t="shared" si="2"/>
        <v>0</v>
      </c>
    </row>
    <row r="13" spans="1:16" x14ac:dyDescent="0.25">
      <c r="A13" s="652">
        <f>IF(Solve_RRC!C44="",0,Solve_RRC!C44)</f>
        <v>0</v>
      </c>
      <c r="B13" s="652">
        <f>IF(Solve_RRC!D44="",0,Solve_RRC!D44)</f>
        <v>0</v>
      </c>
      <c r="C13" s="644" t="s">
        <v>14</v>
      </c>
      <c r="D13" s="653">
        <f>IF(Solve_RRC!C15="",0,Solve_RRC!C15)</f>
        <v>0</v>
      </c>
      <c r="E13" s="654">
        <f>IF(Solve_RRC!D15="",0,Solve_RRC!D15)</f>
        <v>0</v>
      </c>
      <c r="F13" s="654">
        <f>IF(Solve_RRC!E15="",0,Solve_RRC!E15)</f>
        <v>0</v>
      </c>
      <c r="G13" s="654">
        <f>IF(Solve_RRC!F15="",0,Solve_RRC!F15)</f>
        <v>0</v>
      </c>
      <c r="H13" s="654">
        <f>IF(Solve_RRC!G15="",0,Solve_RRC!G15)</f>
        <v>0</v>
      </c>
      <c r="I13" s="654">
        <f>IF(Solve_RRC!H15="",0,Solve_RRC!H15)</f>
        <v>0</v>
      </c>
      <c r="J13" s="654">
        <f>IF(Solve_RRC!I15="",0,Solve_RRC!I15)</f>
        <v>0</v>
      </c>
      <c r="K13" s="654">
        <f>IF(Solve_RRC!J15="",0,Solve_RRC!J15)</f>
        <v>0</v>
      </c>
      <c r="L13" s="654">
        <f>IF(Solve_RRC!K15="",0,Solve_RRC!K15)</f>
        <v>0</v>
      </c>
      <c r="M13" s="655">
        <f>IF(Solve_RRC!L15="",0,Solve_RRC!L15)</f>
        <v>0</v>
      </c>
      <c r="N13" s="148">
        <f t="shared" si="1"/>
        <v>0</v>
      </c>
      <c r="O13" s="187" t="str">
        <f t="shared" si="0"/>
        <v/>
      </c>
      <c r="P13" s="747">
        <f t="shared" si="2"/>
        <v>0</v>
      </c>
    </row>
    <row r="14" spans="1:16" x14ac:dyDescent="0.25">
      <c r="A14" s="140"/>
      <c r="B14" s="140"/>
      <c r="C14" s="77"/>
      <c r="D14" s="656"/>
      <c r="E14" s="656"/>
      <c r="F14" s="656"/>
      <c r="G14" s="656"/>
      <c r="H14" s="656"/>
      <c r="I14" s="656"/>
      <c r="J14" s="656"/>
      <c r="K14" s="656"/>
      <c r="L14" s="656"/>
      <c r="M14" s="656"/>
      <c r="N14" s="67">
        <f>((N4 =1)+(N4 =0))*((N5 =1)+(N5 =0))*((N6=1)+(N6=0))*((N7=1)+(N7=0))*((N8=1)+(N8=0))*((N9=1)+(N9=0))*((N10=1)+(N10=0))*((N11=1)+(N11=0))*((N12=1)+(N12=0))*((N13=1)+(N13=0))</f>
        <v>1</v>
      </c>
    </row>
    <row r="15" spans="1:16" ht="15.75" thickBot="1" x14ac:dyDescent="0.3">
      <c r="A15" s="140"/>
      <c r="B15" s="140"/>
      <c r="C15" s="77"/>
      <c r="D15" s="657"/>
      <c r="E15" s="657"/>
      <c r="F15" s="657"/>
      <c r="G15" s="657"/>
      <c r="H15" s="657"/>
      <c r="I15" s="657"/>
      <c r="J15" s="657"/>
      <c r="K15" s="657"/>
      <c r="L15" s="657"/>
      <c r="M15" s="657"/>
      <c r="N15" s="67"/>
    </row>
    <row r="16" spans="1:16" ht="15" customHeight="1" thickBot="1" x14ac:dyDescent="0.3">
      <c r="A16" s="77"/>
      <c r="B16" s="947" t="str">
        <f>IF(SUM(P4:P13)=0,"",IF(R44=10,IF(S48=K31,"Result: Exact Solution","Result: No unique soln"),"Result: No unique soln"))</f>
        <v>Result: Exact Solution</v>
      </c>
      <c r="C16" s="948"/>
      <c r="D16" s="949"/>
      <c r="E16" s="77"/>
      <c r="F16" s="77"/>
      <c r="G16" s="77"/>
      <c r="H16" s="77"/>
      <c r="I16" s="77"/>
      <c r="J16" s="77"/>
      <c r="K16" s="77"/>
      <c r="L16" s="77"/>
      <c r="M16" s="77"/>
    </row>
    <row r="17" spans="1:18" x14ac:dyDescent="0.25">
      <c r="A17" s="77"/>
      <c r="B17" s="658" t="s">
        <v>132</v>
      </c>
      <c r="C17" s="659" t="s">
        <v>17</v>
      </c>
      <c r="D17" s="658" t="s">
        <v>69</v>
      </c>
      <c r="E17" s="190" t="s">
        <v>140</v>
      </c>
      <c r="F17" s="660"/>
      <c r="G17" s="661"/>
      <c r="H17" s="640"/>
      <c r="I17" s="77"/>
      <c r="J17" s="77"/>
      <c r="K17" s="77"/>
      <c r="L17" s="77"/>
      <c r="M17" s="77"/>
    </row>
    <row r="18" spans="1:18" x14ac:dyDescent="0.25">
      <c r="A18" s="662">
        <f>COUNTIF(F18:F26,"=0")</f>
        <v>9</v>
      </c>
      <c r="B18" s="663">
        <f t="array" ref="B18:B26">MMULT(B34:J42,D18:D26)</f>
        <v>-9.8224400000000073E-2</v>
      </c>
      <c r="C18" s="663">
        <f>A34</f>
        <v>-9.8224400000000017E-2</v>
      </c>
      <c r="D18" s="664">
        <f t="array" ref="D18:D26">MMULT(B46:J54,A34:A42)</f>
        <v>-0.15999999999999925</v>
      </c>
      <c r="E18" s="191">
        <v>1</v>
      </c>
      <c r="F18" s="727">
        <f>ROUND(B18-C18,Rnd_solve)</f>
        <v>0</v>
      </c>
      <c r="G18" s="661"/>
      <c r="H18" s="640"/>
      <c r="I18" s="640"/>
      <c r="J18" s="640"/>
      <c r="K18" s="77"/>
      <c r="L18" s="77"/>
      <c r="M18" s="77"/>
    </row>
    <row r="19" spans="1:18" x14ac:dyDescent="0.25">
      <c r="A19" s="665">
        <f>COUNTIF(Solve_RRC!R6:R15,"&gt;0") - 1</f>
        <v>-1</v>
      </c>
      <c r="B19" s="648">
        <v>-0.22565460000000021</v>
      </c>
      <c r="C19" s="648">
        <f t="shared" ref="C19:C26" si="3">A35</f>
        <v>-0.22565460000000004</v>
      </c>
      <c r="D19" s="666">
        <v>-0.33999999999999808</v>
      </c>
      <c r="E19" s="192">
        <v>2</v>
      </c>
      <c r="F19" s="727">
        <f t="shared" ref="F19:F26" si="4">ROUND(B19-C19,Rnd_solve)</f>
        <v>0</v>
      </c>
      <c r="G19" s="661"/>
      <c r="H19" s="77"/>
      <c r="I19" s="77"/>
      <c r="J19" s="77"/>
      <c r="K19" s="77"/>
      <c r="L19" s="77"/>
      <c r="M19" s="77"/>
    </row>
    <row r="20" spans="1:18" x14ac:dyDescent="0.25">
      <c r="A20" s="77"/>
      <c r="B20" s="648">
        <v>-0.23356980000000008</v>
      </c>
      <c r="C20" s="648">
        <f t="shared" si="3"/>
        <v>-0.23356979999999994</v>
      </c>
      <c r="D20" s="666">
        <v>-0.50000000000000622</v>
      </c>
      <c r="E20" s="192">
        <v>3</v>
      </c>
      <c r="F20" s="728">
        <f t="shared" si="4"/>
        <v>0</v>
      </c>
      <c r="G20" s="661"/>
      <c r="H20" s="667"/>
      <c r="I20" s="667"/>
      <c r="J20" s="667"/>
      <c r="K20" s="667"/>
      <c r="L20" s="667"/>
      <c r="M20" s="667"/>
      <c r="N20" s="144"/>
      <c r="O20" s="144"/>
      <c r="P20" s="144"/>
    </row>
    <row r="21" spans="1:18" x14ac:dyDescent="0.25">
      <c r="A21" s="77"/>
      <c r="B21" s="648">
        <v>-0.33028120000000022</v>
      </c>
      <c r="C21" s="648">
        <f t="shared" si="3"/>
        <v>-0.33028120000000005</v>
      </c>
      <c r="D21" s="666">
        <v>-0.60000000000000075</v>
      </c>
      <c r="E21" s="192">
        <v>4</v>
      </c>
      <c r="F21" s="728">
        <f t="shared" si="4"/>
        <v>0</v>
      </c>
      <c r="G21" s="667"/>
      <c r="H21" s="667"/>
      <c r="I21" s="667"/>
      <c r="J21" s="667"/>
      <c r="K21" s="667"/>
      <c r="L21" s="667"/>
      <c r="M21" s="667"/>
      <c r="N21" s="144"/>
      <c r="O21" s="144"/>
      <c r="P21" s="144"/>
    </row>
    <row r="22" spans="1:18" x14ac:dyDescent="0.25">
      <c r="A22" s="77"/>
      <c r="B22" s="648">
        <v>-0.37350920000000021</v>
      </c>
      <c r="C22" s="648">
        <f t="shared" si="3"/>
        <v>-0.37350919999999999</v>
      </c>
      <c r="D22" s="666">
        <v>-0.69999999999999929</v>
      </c>
      <c r="E22" s="192">
        <v>5</v>
      </c>
      <c r="F22" s="728">
        <f t="shared" si="4"/>
        <v>0</v>
      </c>
      <c r="G22" s="667"/>
      <c r="H22" s="667"/>
      <c r="I22" s="667"/>
      <c r="J22" s="667"/>
      <c r="K22" s="667"/>
      <c r="L22" s="667"/>
      <c r="M22" s="667"/>
      <c r="N22" s="144"/>
      <c r="O22" s="144"/>
      <c r="P22" s="144"/>
    </row>
    <row r="23" spans="1:18" x14ac:dyDescent="0.25">
      <c r="A23" s="77"/>
      <c r="B23" s="648">
        <v>0</v>
      </c>
      <c r="C23" s="648">
        <f t="shared" si="3"/>
        <v>0</v>
      </c>
      <c r="D23" s="666">
        <v>0</v>
      </c>
      <c r="E23" s="192">
        <v>6</v>
      </c>
      <c r="F23" s="727">
        <f t="shared" si="4"/>
        <v>0</v>
      </c>
      <c r="G23" s="77"/>
      <c r="H23" s="77"/>
      <c r="I23" s="77"/>
      <c r="J23" s="77"/>
      <c r="K23" s="77"/>
      <c r="L23" s="77"/>
      <c r="M23" s="77"/>
    </row>
    <row r="24" spans="1:18" x14ac:dyDescent="0.25">
      <c r="A24" s="77"/>
      <c r="B24" s="648">
        <v>0</v>
      </c>
      <c r="C24" s="648">
        <f t="shared" si="3"/>
        <v>0</v>
      </c>
      <c r="D24" s="666">
        <v>0</v>
      </c>
      <c r="E24" s="192">
        <v>7</v>
      </c>
      <c r="F24" s="727">
        <f t="shared" si="4"/>
        <v>0</v>
      </c>
      <c r="G24" s="640"/>
      <c r="H24" s="77"/>
      <c r="I24" s="77"/>
      <c r="J24" s="77"/>
      <c r="K24" s="77"/>
      <c r="L24" s="77"/>
      <c r="M24" s="77"/>
    </row>
    <row r="25" spans="1:18" x14ac:dyDescent="0.25">
      <c r="A25" s="77"/>
      <c r="B25" s="648">
        <v>0</v>
      </c>
      <c r="C25" s="648">
        <f t="shared" si="3"/>
        <v>0</v>
      </c>
      <c r="D25" s="666">
        <v>0</v>
      </c>
      <c r="E25" s="192">
        <v>8</v>
      </c>
      <c r="F25" s="727">
        <f t="shared" si="4"/>
        <v>0</v>
      </c>
      <c r="G25" s="640"/>
      <c r="H25" s="77"/>
      <c r="I25" s="77"/>
      <c r="J25" s="77"/>
      <c r="K25" s="77"/>
      <c r="L25" s="77"/>
      <c r="M25" s="77"/>
    </row>
    <row r="26" spans="1:18" x14ac:dyDescent="0.25">
      <c r="A26" s="77"/>
      <c r="B26" s="652">
        <v>0</v>
      </c>
      <c r="C26" s="652">
        <f t="shared" si="3"/>
        <v>0</v>
      </c>
      <c r="D26" s="668">
        <v>0</v>
      </c>
      <c r="E26" s="193">
        <v>9</v>
      </c>
      <c r="F26" s="727">
        <f t="shared" si="4"/>
        <v>0</v>
      </c>
      <c r="G26" s="640"/>
      <c r="H26" s="640"/>
      <c r="I26" s="77"/>
      <c r="J26" s="77"/>
      <c r="K26" s="77"/>
      <c r="L26" s="77"/>
      <c r="M26" s="77"/>
    </row>
    <row r="27" spans="1:18" x14ac:dyDescent="0.25">
      <c r="B27" s="144"/>
      <c r="C27" s="144"/>
      <c r="E27" s="63"/>
      <c r="F27" s="63"/>
      <c r="G27" s="63"/>
      <c r="H27" s="63"/>
    </row>
    <row r="28" spans="1:18" x14ac:dyDescent="0.25">
      <c r="A28" s="138"/>
      <c r="B28" s="138"/>
      <c r="G28" s="101"/>
    </row>
    <row r="29" spans="1:18" x14ac:dyDescent="0.25">
      <c r="A29" s="65" t="s">
        <v>78</v>
      </c>
    </row>
    <row r="30" spans="1:18" x14ac:dyDescent="0.25">
      <c r="A30" s="124">
        <v>0</v>
      </c>
      <c r="B30" s="130">
        <f>IF(D18=0,0,D18)</f>
        <v>-0.15999999999999925</v>
      </c>
      <c r="C30" s="131">
        <f>IF(D19=0,0,D19)</f>
        <v>-0.33999999999999808</v>
      </c>
      <c r="D30" s="131">
        <f>IF(D20=0,0,D20)</f>
        <v>-0.50000000000000622</v>
      </c>
      <c r="E30" s="131">
        <f>IF(D21=0,0,D21)</f>
        <v>-0.60000000000000075</v>
      </c>
      <c r="F30" s="131">
        <f>IF(D22=0,0,D22)</f>
        <v>-0.69999999999999929</v>
      </c>
      <c r="G30" s="131">
        <f>IF(D23=0,0,D23)</f>
        <v>0</v>
      </c>
      <c r="H30" s="131">
        <f>IF(D24=0,0,D24)</f>
        <v>0</v>
      </c>
      <c r="I30" s="131">
        <f>IF(D25=0,0,D25)</f>
        <v>0</v>
      </c>
      <c r="J30" s="132">
        <f>IF(D26=0,0,D26)</f>
        <v>0</v>
      </c>
    </row>
    <row r="31" spans="1:18" x14ac:dyDescent="0.25">
      <c r="A31" s="124">
        <f t="shared" ref="A31:J31" si="5">ROUND(SUM(D4:D13)&gt;0,1)</f>
        <v>1</v>
      </c>
      <c r="B31" s="162">
        <f>ROUND(SUM(E4:E13)&gt;0,1)</f>
        <v>1</v>
      </c>
      <c r="C31" s="163">
        <f t="shared" si="5"/>
        <v>1</v>
      </c>
      <c r="D31" s="163">
        <f t="shared" si="5"/>
        <v>1</v>
      </c>
      <c r="E31" s="163">
        <f t="shared" si="5"/>
        <v>1</v>
      </c>
      <c r="F31" s="163">
        <f t="shared" si="5"/>
        <v>1</v>
      </c>
      <c r="G31" s="163">
        <f t="shared" si="5"/>
        <v>0</v>
      </c>
      <c r="H31" s="163">
        <f t="shared" si="5"/>
        <v>0</v>
      </c>
      <c r="I31" s="163">
        <f t="shared" si="5"/>
        <v>0</v>
      </c>
      <c r="J31" s="164">
        <f t="shared" si="5"/>
        <v>0</v>
      </c>
      <c r="K31" s="165">
        <f>SUM(B31:J31)</f>
        <v>5</v>
      </c>
    </row>
    <row r="32" spans="1:18" x14ac:dyDescent="0.25">
      <c r="Q32" s="946" t="s">
        <v>73</v>
      </c>
      <c r="R32" s="946"/>
    </row>
    <row r="33" spans="1:28" x14ac:dyDescent="0.25">
      <c r="A33" s="67" t="s">
        <v>17</v>
      </c>
      <c r="B33" s="133" t="s">
        <v>133</v>
      </c>
      <c r="C33" s="67"/>
      <c r="D33" s="67"/>
      <c r="E33" s="67"/>
      <c r="F33" s="67"/>
      <c r="G33" s="67"/>
      <c r="H33" s="67"/>
      <c r="I33" s="67"/>
      <c r="J33" s="67"/>
      <c r="K33" s="67" t="s">
        <v>20</v>
      </c>
      <c r="Q33" s="120" t="s">
        <v>77</v>
      </c>
      <c r="R33" s="65" t="s">
        <v>27</v>
      </c>
      <c r="S33" s="63" t="s">
        <v>210</v>
      </c>
    </row>
    <row r="34" spans="1:28" x14ac:dyDescent="0.25">
      <c r="A34" s="141">
        <f>-(A5-B5)</f>
        <v>-9.8224400000000017E-2</v>
      </c>
      <c r="B34" s="68">
        <f>IF(Solve_RRC!$C36="",0,E$4*($A5+1)-E5)</f>
        <v>7.9579999999999984E-2</v>
      </c>
      <c r="C34" s="69">
        <f>IF(Solve_RRC!$C36="",0,F$4*($A5+1)-F5)</f>
        <v>9.1340000000000032E-2</v>
      </c>
      <c r="D34" s="69">
        <f>IF(Solve_RRC!$C36="",0,G$4*($A5+1)-G5)</f>
        <v>4.1900000000000007E-2</v>
      </c>
      <c r="E34" s="69">
        <f>IF(Solve_RRC!$C36="",0,H$4*($A5+1)-H5)</f>
        <v>4.0480000000000002E-2</v>
      </c>
      <c r="F34" s="69">
        <f>IF(Solve_RRC!$C36="",0,I$4*($A5+1)-I5)</f>
        <v>1.3140000000000006E-2</v>
      </c>
      <c r="G34" s="69">
        <f>IF(Solve_RRC!$C36="",0,J$4*($A5+1)-J5)</f>
        <v>0</v>
      </c>
      <c r="H34" s="69">
        <f>IF(Solve_RRC!$C36="",0,K$4*($A5+1)-K5)</f>
        <v>0</v>
      </c>
      <c r="I34" s="69">
        <f>IF(Solve_RRC!$C36="",0,L$4*($A5+1)-L5)</f>
        <v>0</v>
      </c>
      <c r="J34" s="70">
        <f>IF(Solve_RRC!$C36="",0,M$4*($A5+1)-M5)</f>
        <v>0</v>
      </c>
      <c r="K34" s="533">
        <f>MDETERM(B34:B34)</f>
        <v>7.9579999999999984E-2</v>
      </c>
      <c r="Q34" s="109">
        <f t="array" ref="Q34">MMULT($A$30:$J$30,TRANSPOSE(S34:AB34))</f>
        <v>-0.28494000000000003</v>
      </c>
      <c r="R34" s="121">
        <f t="shared" ref="R34:R43" si="6">IF(Q34=0,0, ROUND((B4+ (Q34-$Q$34))/($Q$34+1)-A4,Rnd_solve))</f>
        <v>0</v>
      </c>
      <c r="S34" s="199">
        <f t="shared" ref="S34:S43" si="7">IF(D4="",0,D4)</f>
        <v>0.156</v>
      </c>
      <c r="T34" s="134">
        <f t="shared" ref="T34:T43" si="8">IF(E4="",0,E4)</f>
        <v>0.33300000000000002</v>
      </c>
      <c r="U34" s="134">
        <f t="shared" ref="U34:U43" si="9">IF(F4="",0,F4)</f>
        <v>0.25900000000000001</v>
      </c>
      <c r="V34" s="134">
        <f t="shared" ref="V34:V43" si="10">IF(G4="",0,G4)</f>
        <v>0.115</v>
      </c>
      <c r="W34" s="134">
        <f t="shared" ref="W34:W43" si="11">IF(H4="",0,H4)</f>
        <v>9.8000000000000004E-2</v>
      </c>
      <c r="X34" s="134">
        <f t="shared" ref="X34:X43" si="12">IF(I4="",0,I4)</f>
        <v>3.9E-2</v>
      </c>
      <c r="Y34" s="134">
        <f t="shared" ref="Y34:Y43" si="13">IF(J4="",0,J4)</f>
        <v>0</v>
      </c>
      <c r="Z34" s="134">
        <f t="shared" ref="Z34:Z43" si="14">IF(K4="",0,K4)</f>
        <v>0</v>
      </c>
      <c r="AA34" s="134">
        <f t="shared" ref="AA34:AA43" si="15">IF(L4="",0,L4)</f>
        <v>0</v>
      </c>
      <c r="AB34" s="98">
        <f t="shared" ref="AB34:AB43" si="16">IF(M4="",0,M4)</f>
        <v>0</v>
      </c>
    </row>
    <row r="35" spans="1:28" x14ac:dyDescent="0.25">
      <c r="A35" s="142">
        <f t="shared" ref="A35:A42" si="17">-(A6-B6)</f>
        <v>-0.22565460000000004</v>
      </c>
      <c r="B35" s="71">
        <f>IF(Solve_RRC!$C37="",0,E$4*($A6+1)-E6)</f>
        <v>0.16247000000000011</v>
      </c>
      <c r="C35" s="72">
        <f>IF(Solve_RRC!$C37="",0,F$4*($A6+1)-F6)</f>
        <v>0.20981</v>
      </c>
      <c r="D35" s="72">
        <f>IF(Solve_RRC!$C37="",0,G$4*($A6+1)-G6)</f>
        <v>0.10385000000000001</v>
      </c>
      <c r="E35" s="72">
        <f>IF(Solve_RRC!$C37="",0,H$4*($A6+1)-H6)</f>
        <v>8.882000000000001E-2</v>
      </c>
      <c r="F35" s="72">
        <f>IF(Solve_RRC!$C37="",0,I$4*($A6+1)-I6)</f>
        <v>3.3009999999999998E-2</v>
      </c>
      <c r="G35" s="72">
        <f>IF(Solve_RRC!$C37="",0,J$4*($A6+1)-J6)</f>
        <v>0</v>
      </c>
      <c r="H35" s="72">
        <f>IF(Solve_RRC!$C37="",0,K$4*($A6+1)-K6)</f>
        <v>0</v>
      </c>
      <c r="I35" s="72">
        <f>IF(Solve_RRC!$C37="",0,L$4*($A6+1)-L6)</f>
        <v>0</v>
      </c>
      <c r="J35" s="73">
        <f>IF(Solve_RRC!$C37="",0,M$4*($A6+1)-M6)</f>
        <v>0</v>
      </c>
      <c r="K35" s="533">
        <f>MDETERM(B34:C35)</f>
        <v>1.8566699999999802E-3</v>
      </c>
      <c r="Q35" s="109">
        <f t="array" ref="Q35">MMULT($A$30:$J$30,TRANSPOSE(S35:AB35))</f>
        <v>-0.26079999999999992</v>
      </c>
      <c r="R35" s="122">
        <f t="shared" si="6"/>
        <v>0</v>
      </c>
      <c r="S35" s="99">
        <f t="shared" si="7"/>
        <v>0.20300000000000001</v>
      </c>
      <c r="T35" s="128">
        <f t="shared" si="8"/>
        <v>0.34</v>
      </c>
      <c r="U35" s="128">
        <f t="shared" si="9"/>
        <v>0.23499999999999999</v>
      </c>
      <c r="V35" s="128">
        <f t="shared" si="10"/>
        <v>0.10299999999999999</v>
      </c>
      <c r="W35" s="128">
        <f t="shared" si="11"/>
        <v>8.3000000000000004E-2</v>
      </c>
      <c r="X35" s="128">
        <f t="shared" si="12"/>
        <v>3.5999999999999997E-2</v>
      </c>
      <c r="Y35" s="128">
        <f t="shared" si="13"/>
        <v>0</v>
      </c>
      <c r="Z35" s="128">
        <f t="shared" si="14"/>
        <v>0</v>
      </c>
      <c r="AA35" s="128">
        <f t="shared" si="15"/>
        <v>0</v>
      </c>
      <c r="AB35" s="100">
        <f t="shared" si="16"/>
        <v>0</v>
      </c>
    </row>
    <row r="36" spans="1:28" x14ac:dyDescent="0.25">
      <c r="A36" s="142">
        <f t="shared" si="17"/>
        <v>-0.23356979999999994</v>
      </c>
      <c r="B36" s="71">
        <f>IF(Solve_RRC!$C38="",0,E$4*($A7+1)-E7)</f>
        <v>0.20211000000000001</v>
      </c>
      <c r="C36" s="72">
        <f>IF(Solve_RRC!$C38="",0,F$4*($A7+1)-F7)</f>
        <v>0.23152999999999996</v>
      </c>
      <c r="D36" s="72">
        <f>IF(Solve_RRC!$C38="",0,G$4*($A7+1)-G7)</f>
        <v>0.10405</v>
      </c>
      <c r="E36" s="72">
        <f>IF(Solve_RRC!$C38="",0,H$4*($A7+1)-H7)</f>
        <v>7.7660000000000007E-2</v>
      </c>
      <c r="F36" s="72">
        <f>IF(Solve_RRC!$C38="",0,I$4*($A7+1)-I7)</f>
        <v>3.4129999999999994E-2</v>
      </c>
      <c r="G36" s="72">
        <f>IF(Solve_RRC!$C38="",0,J$4*($A7+1)-J7)</f>
        <v>0</v>
      </c>
      <c r="H36" s="72">
        <f>IF(Solve_RRC!$C38="",0,K$4*($A7+1)-K7)</f>
        <v>0</v>
      </c>
      <c r="I36" s="72">
        <f>IF(Solve_RRC!$C38="",0,L$4*($A7+1)-L7)</f>
        <v>0</v>
      </c>
      <c r="J36" s="73">
        <f>IF(Solve_RRC!$C38="",0,M$4*($A7+1)-M7)</f>
        <v>0</v>
      </c>
      <c r="K36" s="533">
        <f>MDETERM(B34:D36)</f>
        <v>-3.7375799999997538E-6</v>
      </c>
      <c r="Q36" s="109">
        <f t="array" ref="Q36">MMULT($A$30:$J$30,TRANSPOSE(S36:AB36))</f>
        <v>-0.22739999999999988</v>
      </c>
      <c r="R36" s="122">
        <f t="shared" si="6"/>
        <v>0</v>
      </c>
      <c r="S36" s="99">
        <f t="shared" si="7"/>
        <v>0.25600000000000001</v>
      </c>
      <c r="T36" s="128">
        <f t="shared" si="8"/>
        <v>0.36699999999999999</v>
      </c>
      <c r="U36" s="128">
        <f t="shared" si="9"/>
        <v>0.20200000000000001</v>
      </c>
      <c r="V36" s="128">
        <f t="shared" si="10"/>
        <v>7.9000000000000001E-2</v>
      </c>
      <c r="W36" s="128">
        <f t="shared" si="11"/>
        <v>6.7000000000000004E-2</v>
      </c>
      <c r="X36" s="128">
        <f t="shared" si="12"/>
        <v>2.9000000000000001E-2</v>
      </c>
      <c r="Y36" s="128">
        <f t="shared" si="13"/>
        <v>0</v>
      </c>
      <c r="Z36" s="128">
        <f t="shared" si="14"/>
        <v>0</v>
      </c>
      <c r="AA36" s="128">
        <f t="shared" si="15"/>
        <v>0</v>
      </c>
      <c r="AB36" s="100">
        <f t="shared" si="16"/>
        <v>0</v>
      </c>
    </row>
    <row r="37" spans="1:28" x14ac:dyDescent="0.25">
      <c r="A37" s="142">
        <f t="shared" si="17"/>
        <v>-0.33028120000000005</v>
      </c>
      <c r="B37" s="71">
        <f>IF(Solve_RRC!$C39="",0,E$4*($A8+1)-E8)</f>
        <v>0.30934000000000006</v>
      </c>
      <c r="C37" s="72">
        <f>IF(Solve_RRC!$C39="",0,F$4*($A8+1)-F8)</f>
        <v>0.30282000000000009</v>
      </c>
      <c r="D37" s="72">
        <f>IF(Solve_RRC!$C39="",0,G$4*($A8+1)-G8)</f>
        <v>0.14070000000000002</v>
      </c>
      <c r="E37" s="72">
        <f>IF(Solve_RRC!$C39="",0,H$4*($A8+1)-H8)</f>
        <v>0.13104000000000002</v>
      </c>
      <c r="F37" s="72">
        <f>IF(Solve_RRC!$C39="",0,I$4*($A8+1)-I8)</f>
        <v>4.122E-2</v>
      </c>
      <c r="G37" s="72">
        <f>IF(Solve_RRC!$C39="",0,J$4*($A8+1)-J8)</f>
        <v>0</v>
      </c>
      <c r="H37" s="72">
        <f>IF(Solve_RRC!$C39="",0,K$4*($A8+1)-K8)</f>
        <v>0</v>
      </c>
      <c r="I37" s="72">
        <f>IF(Solve_RRC!$C39="",0,L$4*($A8+1)-L8)</f>
        <v>0</v>
      </c>
      <c r="J37" s="73">
        <f>IF(Solve_RRC!$C39="",0,M$4*($A8+1)-M8)</f>
        <v>0</v>
      </c>
      <c r="K37" s="533">
        <f>MDETERM(B34:E37)</f>
        <v>9.2097283000000123E-7</v>
      </c>
      <c r="Q37" s="109">
        <f t="array" ref="Q37">MMULT($A$30:$J$30,TRANSPOSE(S37:AB37))</f>
        <v>-0.24227999999999994</v>
      </c>
      <c r="R37" s="122">
        <f t="shared" si="6"/>
        <v>0</v>
      </c>
      <c r="S37" s="99">
        <f t="shared" si="7"/>
        <v>0.24</v>
      </c>
      <c r="T37" s="128">
        <f t="shared" si="8"/>
        <v>0.35399999999999998</v>
      </c>
      <c r="U37" s="128">
        <f t="shared" si="9"/>
        <v>0.20100000000000001</v>
      </c>
      <c r="V37" s="128">
        <f t="shared" si="10"/>
        <v>8.7999999999999995E-2</v>
      </c>
      <c r="W37" s="128">
        <f t="shared" si="11"/>
        <v>8.5999999999999993E-2</v>
      </c>
      <c r="X37" s="128">
        <f t="shared" si="12"/>
        <v>3.1E-2</v>
      </c>
      <c r="Y37" s="128">
        <f t="shared" si="13"/>
        <v>0</v>
      </c>
      <c r="Z37" s="128">
        <f t="shared" si="14"/>
        <v>0</v>
      </c>
      <c r="AA37" s="128">
        <f t="shared" si="15"/>
        <v>0</v>
      </c>
      <c r="AB37" s="100">
        <f t="shared" si="16"/>
        <v>0</v>
      </c>
    </row>
    <row r="38" spans="1:28" x14ac:dyDescent="0.25">
      <c r="A38" s="142">
        <f t="shared" si="17"/>
        <v>-0.37350919999999999</v>
      </c>
      <c r="B38" s="71">
        <f>IF(Solve_RRC!$C40="",0,E$4*($A9+1)-E9)</f>
        <v>0.36894000000000016</v>
      </c>
      <c r="C38" s="72">
        <f>IF(Solve_RRC!$C40="",0,F$4*($A9+1)-F9)</f>
        <v>0.37362000000000001</v>
      </c>
      <c r="D38" s="72">
        <f>IF(Solve_RRC!$C40="",0,G$4*($A9+1)-G9)</f>
        <v>0.17370000000000002</v>
      </c>
      <c r="E38" s="72">
        <f>IF(Solve_RRC!$C40="",0,H$4*($A9+1)-H9)</f>
        <v>0.12564000000000003</v>
      </c>
      <c r="F38" s="72">
        <f>IF(Solve_RRC!$C40="",0,I$4*($A9+1)-I9)</f>
        <v>3.602000000000001E-2</v>
      </c>
      <c r="G38" s="72">
        <f>IF(Solve_RRC!$C40="",0,J$4*($A9+1)-J9)</f>
        <v>0</v>
      </c>
      <c r="H38" s="72">
        <f>IF(Solve_RRC!$C40="",0,K$4*($A9+1)-K9)</f>
        <v>0</v>
      </c>
      <c r="I38" s="72">
        <f>IF(Solve_RRC!$C40="",0,L$4*($A9+1)-L9)</f>
        <v>0</v>
      </c>
      <c r="J38" s="73">
        <f>IF(Solve_RRC!$C40="",0,M$4*($A9+1)-M9)</f>
        <v>0</v>
      </c>
      <c r="K38" s="533">
        <f>MDETERM(B34:F38)</f>
        <v>-1.6048607920000016E-8</v>
      </c>
      <c r="Q38" s="109">
        <f t="array" ref="Q38">MMULT($A$30:$J$30,TRANSPOSE(S38:AB38))</f>
        <v>-0.23389999999999989</v>
      </c>
      <c r="R38" s="122">
        <f t="shared" si="6"/>
        <v>0</v>
      </c>
      <c r="S38" s="99">
        <f t="shared" si="7"/>
        <v>0.254</v>
      </c>
      <c r="T38" s="128">
        <f t="shared" si="8"/>
        <v>0.35</v>
      </c>
      <c r="U38" s="128">
        <f t="shared" si="9"/>
        <v>0.21</v>
      </c>
      <c r="V38" s="128">
        <f t="shared" si="10"/>
        <v>8.6999999999999994E-2</v>
      </c>
      <c r="W38" s="128">
        <f t="shared" si="11"/>
        <v>6.3E-2</v>
      </c>
      <c r="X38" s="128">
        <f t="shared" si="12"/>
        <v>3.5999999999999997E-2</v>
      </c>
      <c r="Y38" s="128">
        <f t="shared" si="13"/>
        <v>0</v>
      </c>
      <c r="Z38" s="128">
        <f t="shared" si="14"/>
        <v>0</v>
      </c>
      <c r="AA38" s="128">
        <f t="shared" si="15"/>
        <v>0</v>
      </c>
      <c r="AB38" s="100">
        <f t="shared" si="16"/>
        <v>0</v>
      </c>
    </row>
    <row r="39" spans="1:28" x14ac:dyDescent="0.25">
      <c r="A39" s="142">
        <f t="shared" si="17"/>
        <v>0</v>
      </c>
      <c r="B39" s="71">
        <f>IF(Solve_RRC!$C41="",0,E$4*($A10+1)-E10)</f>
        <v>0</v>
      </c>
      <c r="C39" s="72">
        <f>IF(Solve_RRC!$C41="",0,F$4*($A10+1)-F10)</f>
        <v>0</v>
      </c>
      <c r="D39" s="72">
        <f>IF(Solve_RRC!$C41="",0,G$4*($A10+1)-G10)</f>
        <v>0</v>
      </c>
      <c r="E39" s="72">
        <f>IF(Solve_RRC!$C41="",0,H$4*($A10+1)-H10)</f>
        <v>0</v>
      </c>
      <c r="F39" s="72">
        <f>IF(Solve_RRC!$C41="",0,I$4*($A10+1)-I10)</f>
        <v>0</v>
      </c>
      <c r="G39" s="72">
        <f>IF(Solve_RRC!$C41="",0,J$4*($A10+1)-J10)</f>
        <v>0</v>
      </c>
      <c r="H39" s="72">
        <f>IF(Solve_RRC!$C41="",0,K$4*($A10+1)-K10)</f>
        <v>0</v>
      </c>
      <c r="I39" s="72">
        <f>IF(Solve_RRC!$C41="",0,L$4*($A10+1)-L10)</f>
        <v>0</v>
      </c>
      <c r="J39" s="73">
        <f>IF(Solve_RRC!$C41="",0,M$4*($A10+1)-M10)</f>
        <v>0</v>
      </c>
      <c r="K39" s="533">
        <f>MDETERM(B34:G39)</f>
        <v>0</v>
      </c>
      <c r="Q39" s="109">
        <f t="array" ref="Q39">MMULT($A$30:$J$30,TRANSPOSE(S39:AB39))</f>
        <v>-0.24765999999999988</v>
      </c>
      <c r="R39" s="122">
        <f t="shared" si="6"/>
        <v>0</v>
      </c>
      <c r="S39" s="99">
        <f t="shared" si="7"/>
        <v>0.23799999999999999</v>
      </c>
      <c r="T39" s="128">
        <f t="shared" si="8"/>
        <v>0.35699999999999998</v>
      </c>
      <c r="U39" s="128">
        <f t="shared" si="9"/>
        <v>0.191</v>
      </c>
      <c r="V39" s="128">
        <f t="shared" si="10"/>
        <v>7.6999999999999999E-2</v>
      </c>
      <c r="W39" s="128">
        <f t="shared" si="11"/>
        <v>8.7999999999999995E-2</v>
      </c>
      <c r="X39" s="128">
        <f t="shared" si="12"/>
        <v>4.9000000000000002E-2</v>
      </c>
      <c r="Y39" s="128">
        <f t="shared" si="13"/>
        <v>0</v>
      </c>
      <c r="Z39" s="128">
        <f t="shared" si="14"/>
        <v>0</v>
      </c>
      <c r="AA39" s="128">
        <f t="shared" si="15"/>
        <v>0</v>
      </c>
      <c r="AB39" s="100">
        <f t="shared" si="16"/>
        <v>0</v>
      </c>
    </row>
    <row r="40" spans="1:28" x14ac:dyDescent="0.25">
      <c r="A40" s="142">
        <f t="shared" si="17"/>
        <v>0</v>
      </c>
      <c r="B40" s="71">
        <f>IF(Solve_RRC!$C42="",0,E$4*($A11+1)-E11)</f>
        <v>0</v>
      </c>
      <c r="C40" s="72">
        <f>IF(Solve_RRC!$C42="",0,F$4*($A11+1)-F11)</f>
        <v>0</v>
      </c>
      <c r="D40" s="72">
        <f>IF(Solve_RRC!$C42="",0,G$4*($A11+1)-G11)</f>
        <v>0</v>
      </c>
      <c r="E40" s="72">
        <f>IF(Solve_RRC!$C42="",0,H$4*($A11+1)-H11)</f>
        <v>0</v>
      </c>
      <c r="F40" s="72">
        <f>IF(Solve_RRC!$C42="",0,I$4*($A11+1)-I11)</f>
        <v>0</v>
      </c>
      <c r="G40" s="72">
        <f>IF(Solve_RRC!$C42="",0,J$4*($A11+1)-J11)</f>
        <v>0</v>
      </c>
      <c r="H40" s="72">
        <f>IF(Solve_RRC!$C42="",0,K$4*($A11+1)-K11)</f>
        <v>0</v>
      </c>
      <c r="I40" s="72">
        <f>IF(Solve_RRC!$C42="",0,L$4*($A11+1)-L11)</f>
        <v>0</v>
      </c>
      <c r="J40" s="73">
        <f>IF(Solve_RRC!$C42="",0,M$4*($A11+1)-M11)</f>
        <v>0</v>
      </c>
      <c r="K40" s="533">
        <f>MDETERM(B34:H40)</f>
        <v>0</v>
      </c>
      <c r="Q40" s="109">
        <f t="array" ref="Q40">MMULT($A$30:$J$30,TRANSPOSE(S40:AB40))</f>
        <v>0</v>
      </c>
      <c r="R40" s="122">
        <f t="shared" si="6"/>
        <v>0</v>
      </c>
      <c r="S40" s="99">
        <f t="shared" si="7"/>
        <v>0</v>
      </c>
      <c r="T40" s="128">
        <f t="shared" si="8"/>
        <v>0</v>
      </c>
      <c r="U40" s="128">
        <f t="shared" si="9"/>
        <v>0</v>
      </c>
      <c r="V40" s="128">
        <f t="shared" si="10"/>
        <v>0</v>
      </c>
      <c r="W40" s="128">
        <f t="shared" si="11"/>
        <v>0</v>
      </c>
      <c r="X40" s="128">
        <f t="shared" si="12"/>
        <v>0</v>
      </c>
      <c r="Y40" s="128">
        <f t="shared" si="13"/>
        <v>0</v>
      </c>
      <c r="Z40" s="128">
        <f t="shared" si="14"/>
        <v>0</v>
      </c>
      <c r="AA40" s="128">
        <f t="shared" si="15"/>
        <v>0</v>
      </c>
      <c r="AB40" s="100">
        <f t="shared" si="16"/>
        <v>0</v>
      </c>
    </row>
    <row r="41" spans="1:28" x14ac:dyDescent="0.25">
      <c r="A41" s="142">
        <f t="shared" si="17"/>
        <v>0</v>
      </c>
      <c r="B41" s="71">
        <f>IF(Solve_RRC!$C43="",0,E$4*($A12+1)-E12)</f>
        <v>0</v>
      </c>
      <c r="C41" s="72">
        <f>IF(Solve_RRC!$C43="",0,F$4*($A12+1)-F12)</f>
        <v>0</v>
      </c>
      <c r="D41" s="72">
        <f>IF(Solve_RRC!$C43="",0,G$4*($A12+1)-G12)</f>
        <v>0</v>
      </c>
      <c r="E41" s="72">
        <f>IF(Solve_RRC!$C43="",0,H$4*($A12+1)-H12)</f>
        <v>0</v>
      </c>
      <c r="F41" s="72">
        <f>IF(Solve_RRC!$C43="",0,I$4*($A12+1)-I12)</f>
        <v>0</v>
      </c>
      <c r="G41" s="72">
        <f>IF(Solve_RRC!$C43="",0,J$4*($A12+1)-J12)</f>
        <v>0</v>
      </c>
      <c r="H41" s="72">
        <f>IF(Solve_RRC!$C43="",0,K$4*($A12+1)-K12)</f>
        <v>0</v>
      </c>
      <c r="I41" s="72">
        <f>IF(Solve_RRC!$C43="",0,L$4*($A12+1)-L12)</f>
        <v>0</v>
      </c>
      <c r="J41" s="73">
        <f>IF(Solve_RRC!$C43="",0,M$4*($A12+1)-M12)</f>
        <v>0</v>
      </c>
      <c r="K41" s="533">
        <f>MDETERM(B34:I41)</f>
        <v>0</v>
      </c>
      <c r="Q41" s="109">
        <f t="array" ref="Q41">MMULT($A$30:$J$30,TRANSPOSE(S41:AB41))</f>
        <v>0</v>
      </c>
      <c r="R41" s="122">
        <f t="shared" si="6"/>
        <v>0</v>
      </c>
      <c r="S41" s="99">
        <f t="shared" si="7"/>
        <v>0</v>
      </c>
      <c r="T41" s="128">
        <f t="shared" si="8"/>
        <v>0</v>
      </c>
      <c r="U41" s="128">
        <f t="shared" si="9"/>
        <v>0</v>
      </c>
      <c r="V41" s="128">
        <f t="shared" si="10"/>
        <v>0</v>
      </c>
      <c r="W41" s="128">
        <f t="shared" si="11"/>
        <v>0</v>
      </c>
      <c r="X41" s="128">
        <f t="shared" si="12"/>
        <v>0</v>
      </c>
      <c r="Y41" s="128">
        <f t="shared" si="13"/>
        <v>0</v>
      </c>
      <c r="Z41" s="128">
        <f t="shared" si="14"/>
        <v>0</v>
      </c>
      <c r="AA41" s="128">
        <f t="shared" si="15"/>
        <v>0</v>
      </c>
      <c r="AB41" s="100">
        <f t="shared" si="16"/>
        <v>0</v>
      </c>
    </row>
    <row r="42" spans="1:28" x14ac:dyDescent="0.25">
      <c r="A42" s="143">
        <f t="shared" si="17"/>
        <v>0</v>
      </c>
      <c r="B42" s="74">
        <f>IF(Solve_RRC!$C44="",0,E$4*($A13+1)-E13)</f>
        <v>0</v>
      </c>
      <c r="C42" s="75">
        <f>IF(Solve_RRC!$C44="",0,F$4*($A13+1)-F13)</f>
        <v>0</v>
      </c>
      <c r="D42" s="75">
        <f>IF(Solve_RRC!$C44="",0,G$4*($A13+1)-G13)</f>
        <v>0</v>
      </c>
      <c r="E42" s="75">
        <f>IF(Solve_RRC!$C44="",0,H$4*($A13+1)-H13)</f>
        <v>0</v>
      </c>
      <c r="F42" s="75">
        <f>IF(Solve_RRC!$C44="",0,I$4*($A13+1)-I13)</f>
        <v>0</v>
      </c>
      <c r="G42" s="75">
        <f>IF(Solve_RRC!$C44="",0,J$4*($A13+1)-J13)</f>
        <v>0</v>
      </c>
      <c r="H42" s="75">
        <f>IF(Solve_RRC!$C44="",0,K$4*($A13+1)-K13)</f>
        <v>0</v>
      </c>
      <c r="I42" s="75">
        <f>IF(Solve_RRC!$C44="",0,L$4*($A13+1)-L13)</f>
        <v>0</v>
      </c>
      <c r="J42" s="76">
        <f>IF(Solve_RRC!$C44="",0,M$4*($A13+1)-M13)</f>
        <v>0</v>
      </c>
      <c r="K42" s="533">
        <f>MDETERM(B34:J42)</f>
        <v>0</v>
      </c>
      <c r="Q42" s="109">
        <f t="array" ref="Q42">MMULT($A$30:$J$30,TRANSPOSE(S42:AB42))</f>
        <v>0</v>
      </c>
      <c r="R42" s="122">
        <f t="shared" si="6"/>
        <v>0</v>
      </c>
      <c r="S42" s="99">
        <f t="shared" si="7"/>
        <v>0</v>
      </c>
      <c r="T42" s="128">
        <f t="shared" si="8"/>
        <v>0</v>
      </c>
      <c r="U42" s="128">
        <f t="shared" si="9"/>
        <v>0</v>
      </c>
      <c r="V42" s="128">
        <f t="shared" si="10"/>
        <v>0</v>
      </c>
      <c r="W42" s="128">
        <f t="shared" si="11"/>
        <v>0</v>
      </c>
      <c r="X42" s="128">
        <f t="shared" si="12"/>
        <v>0</v>
      </c>
      <c r="Y42" s="128">
        <f t="shared" si="13"/>
        <v>0</v>
      </c>
      <c r="Z42" s="128">
        <f t="shared" si="14"/>
        <v>0</v>
      </c>
      <c r="AA42" s="128">
        <f t="shared" si="15"/>
        <v>0</v>
      </c>
      <c r="AB42" s="100">
        <f t="shared" si="16"/>
        <v>0</v>
      </c>
    </row>
    <row r="43" spans="1:28" x14ac:dyDescent="0.25">
      <c r="A43" s="128"/>
      <c r="B43" s="128"/>
      <c r="C43" s="128"/>
      <c r="D43" s="128"/>
      <c r="E43" s="128"/>
      <c r="F43" s="128"/>
      <c r="G43" s="128"/>
      <c r="H43" s="128"/>
      <c r="I43" s="128"/>
      <c r="J43" s="128"/>
      <c r="K43" s="128"/>
      <c r="Q43" s="109">
        <f t="array" ref="Q43">MMULT($A$30:$J$30,TRANSPOSE(S43:AB43))</f>
        <v>0</v>
      </c>
      <c r="R43" s="123">
        <f t="shared" si="6"/>
        <v>0</v>
      </c>
      <c r="S43" s="102">
        <f t="shared" si="7"/>
        <v>0</v>
      </c>
      <c r="T43" s="135">
        <f t="shared" si="8"/>
        <v>0</v>
      </c>
      <c r="U43" s="135">
        <f t="shared" si="9"/>
        <v>0</v>
      </c>
      <c r="V43" s="135">
        <f t="shared" si="10"/>
        <v>0</v>
      </c>
      <c r="W43" s="135">
        <f t="shared" si="11"/>
        <v>0</v>
      </c>
      <c r="X43" s="135">
        <f t="shared" si="12"/>
        <v>0</v>
      </c>
      <c r="Y43" s="135">
        <f t="shared" si="13"/>
        <v>0</v>
      </c>
      <c r="Z43" s="135">
        <f t="shared" si="14"/>
        <v>0</v>
      </c>
      <c r="AA43" s="135">
        <f t="shared" si="15"/>
        <v>0</v>
      </c>
      <c r="AB43" s="200">
        <f t="shared" si="16"/>
        <v>0</v>
      </c>
    </row>
    <row r="44" spans="1:28" x14ac:dyDescent="0.25">
      <c r="A44" s="63" t="s">
        <v>136</v>
      </c>
      <c r="L44" s="67"/>
      <c r="R44" s="125">
        <f>COUNTIF(R34:R43,"=0")</f>
        <v>10</v>
      </c>
      <c r="S44" s="109">
        <f t="shared" ref="S44:AB44" si="18">IF(SUM(S34:S43)&gt;0,1,0)</f>
        <v>1</v>
      </c>
      <c r="T44" s="109">
        <f t="shared" si="18"/>
        <v>1</v>
      </c>
      <c r="U44" s="109">
        <f t="shared" si="18"/>
        <v>1</v>
      </c>
      <c r="V44" s="109">
        <f t="shared" si="18"/>
        <v>1</v>
      </c>
      <c r="W44" s="109">
        <f t="shared" si="18"/>
        <v>1</v>
      </c>
      <c r="X44" s="109">
        <f t="shared" si="18"/>
        <v>1</v>
      </c>
      <c r="Y44" s="109">
        <f t="shared" si="18"/>
        <v>0</v>
      </c>
      <c r="Z44" s="109">
        <f t="shared" si="18"/>
        <v>0</v>
      </c>
      <c r="AA44" s="109">
        <f t="shared" si="18"/>
        <v>0</v>
      </c>
      <c r="AB44" s="109">
        <f t="shared" si="18"/>
        <v>0</v>
      </c>
    </row>
    <row r="45" spans="1:28" x14ac:dyDescent="0.25">
      <c r="B45" s="64">
        <v>1</v>
      </c>
      <c r="C45" s="67">
        <v>2</v>
      </c>
      <c r="D45" s="67">
        <v>3</v>
      </c>
      <c r="E45" s="67">
        <v>4</v>
      </c>
      <c r="F45" s="67">
        <v>5</v>
      </c>
      <c r="G45" s="67">
        <v>6</v>
      </c>
      <c r="H45" s="67">
        <v>7</v>
      </c>
      <c r="I45" s="67">
        <v>8</v>
      </c>
      <c r="J45" s="67">
        <v>9</v>
      </c>
    </row>
    <row r="46" spans="1:28" x14ac:dyDescent="0.25">
      <c r="A46" s="62">
        <v>1</v>
      </c>
      <c r="B46" s="103">
        <f>IF(ISNUMBER(B112),B112,IF(ISNUMBER(B103),B103,IF(ISNUMBER(B95),B95,IF(ISNUMBER(B88),B88,IF(ISNUMBER(B82),B82,IF(ISNUMBER(B77),B77,IF(ISNUMBER(B73),B73,IF(ISNUMBER(B70),B70,IF(ISNUMBER(B68),B68,0)))))))))</f>
        <v>-64.271421243618974</v>
      </c>
      <c r="C46" s="136">
        <f>IF(ISNUMBER(C112),C112,IF(ISNUMBER(C103),C103,IF(ISNUMBER(C95),C95,IF(ISNUMBER(C88),C88,IF(ISNUMBER(C82),C82,IF(ISNUMBER(C77),C77,IF(ISNUMBER(C73),C73,IF(ISNUMBER(C70),C70,0))))))))</f>
        <v>-3.5734239558891203</v>
      </c>
      <c r="D46" s="136">
        <f>IF(ISNUMBER(D112),D112,IF(ISNUMBER(D103),D103,IF(ISNUMBER(D95),D95,IF(ISNUMBER(D88),D88,IF(ISNUMBER(D82),D82,IF(ISNUMBER(D77),D77,IF(ISNUMBER(D73),D73,0)))))))</f>
        <v>3.2781385315319351</v>
      </c>
      <c r="E46" s="136">
        <f>IF(ISNUMBER(E112),E112,IF(ISNUMBER(E103),E103,IF(ISNUMBER(E95),E95,IF(ISNUMBER(E88),E88,IF(ISNUMBER(E82),E82,IF(ISNUMBER(E77),E77,0))))))</f>
        <v>23.742914145540396</v>
      </c>
      <c r="F46" s="136">
        <f>IF(ISNUMBER(F112),F112,IF(ISNUMBER(F103),F103,IF(ISNUMBER(F95),F95,IF(ISNUMBER(F88),F88,IF(ISNUMBER(F82),F82,0)))))</f>
        <v>-3.5558186905970737</v>
      </c>
      <c r="G46" s="136">
        <f t="shared" ref="G46:G51" si="19">IF(ISNUMBER(G112),G112,IF(ISNUMBER(G103),G103,IF(ISNUMBER(G95),G95,IF(ISNUMBER(G88),G88,0))))</f>
        <v>0</v>
      </c>
      <c r="H46" s="136">
        <f t="shared" ref="H46:H52" si="20">IF(ISNUMBER(H112),H112,IF(ISNUMBER(H103),H103,IF(ISNUMBER(H95),H95,0)))</f>
        <v>0</v>
      </c>
      <c r="I46" s="136">
        <f t="shared" ref="I46:I53" si="21">IF(ISNUMBER(I112),I112,IF(ISNUMBER(I103),I103,0))</f>
        <v>0</v>
      </c>
      <c r="J46" s="104">
        <f t="shared" ref="J46:J54" si="22">IF(ISNUMBER(J112),J112,0)</f>
        <v>0</v>
      </c>
    </row>
    <row r="47" spans="1:28" x14ac:dyDescent="0.25">
      <c r="A47" s="62">
        <v>2</v>
      </c>
      <c r="B47" s="105">
        <f>IF(ISNUMBER(B113),B113,IF(ISNUMBER(B104),B104,IF(ISNUMBER(B96),B96,IF(ISNUMBER(B89),B89,IF(ISNUMBER(B83),B83,IF(ISNUMBER(B78),B78,IF(ISNUMBER(B74),B74,IF(ISNUMBER(B71),B71,0))))))))</f>
        <v>194.39206288491528</v>
      </c>
      <c r="C47" s="127">
        <f>IF(ISNUMBER(C113),C113,IF(ISNUMBER(C104),C104,IF(ISNUMBER(C96),C96,IF(ISNUMBER(C89),C89,IF(ISNUMBER(C83),C83,IF(ISNUMBER(C78),C78,IF(ISNUMBER(C74),C74,IF(ISNUMBER(C71),C71,0))))))))</f>
        <v>-46.201689498312561</v>
      </c>
      <c r="D47" s="127">
        <f>IF(ISNUMBER(D113),D113,IF(ISNUMBER(D104),D104,IF(ISNUMBER(D96),D96,IF(ISNUMBER(D89),D89,IF(ISNUMBER(D83),D83,IF(ISNUMBER(D78),D78,IF(ISNUMBER(D74),D74,0)))))))</f>
        <v>18.851947876610492</v>
      </c>
      <c r="E47" s="127">
        <f>IF(ISNUMBER(E113),E113,IF(ISNUMBER(E104),E104,IF(ISNUMBER(E96),E96,IF(ISNUMBER(E89),E89,IF(ISNUMBER(E83),E83,IF(ISNUMBER(E78),E78,0))))))</f>
        <v>-47.478066870238315</v>
      </c>
      <c r="F47" s="127">
        <f>IF(ISNUMBER(F113),F113,IF(ISNUMBER(F104),F104,IF(ISNUMBER(F96),F96,IF(ISNUMBER(F89),F89,IF(ISNUMBER(F83),F83,0)))))</f>
        <v>7.8965852136040198</v>
      </c>
      <c r="G47" s="127">
        <f t="shared" si="19"/>
        <v>0</v>
      </c>
      <c r="H47" s="127">
        <f t="shared" si="20"/>
        <v>0</v>
      </c>
      <c r="I47" s="127">
        <f t="shared" si="21"/>
        <v>0</v>
      </c>
      <c r="J47" s="106">
        <f t="shared" si="22"/>
        <v>0</v>
      </c>
      <c r="R47" s="63" t="s">
        <v>78</v>
      </c>
      <c r="S47" s="126">
        <f>COUNTIF(T44:AB44,"=1")</f>
        <v>5</v>
      </c>
    </row>
    <row r="48" spans="1:28" x14ac:dyDescent="0.25">
      <c r="A48" s="62">
        <v>3</v>
      </c>
      <c r="B48" s="105">
        <f>IF(ISNUMBER(B114),B114,IF(ISNUMBER(B105),B105,IF(ISNUMBER(B97),B97,IF(ISNUMBER(B90),B90,IF(ISNUMBER(B84),B84,IF(ISNUMBER(B79),B79,IF(ISNUMBER(B75),B75,0)))))))</f>
        <v>-319.00638644301608</v>
      </c>
      <c r="C48" s="127">
        <f>IF(ISNUMBER(C114),C114,IF(ISNUMBER(C105),C105,IF(ISNUMBER(C97),C97,IF(ISNUMBER(C90),C90,IF(ISNUMBER(C84),C84,IF(ISNUMBER(C79),C79,IF(ISNUMBER(C75),C75,0)))))))</f>
        <v>108.06211533392596</v>
      </c>
      <c r="D48" s="127">
        <f>IF(ISNUMBER(D114),D114,IF(ISNUMBER(D105),D105,IF(ISNUMBER(D97),D97,IF(ISNUMBER(D90),D90,IF(ISNUMBER(D84),D84,IF(ISNUMBER(D79),D79,IF(ISNUMBER(D75),D75,0)))))))</f>
        <v>-39.404014550814487</v>
      </c>
      <c r="E48" s="127">
        <f>IF(ISNUMBER(E114),E114,IF(ISNUMBER(E105),E105,IF(ISNUMBER(E97),E97,IF(ISNUMBER(E90),E90,IF(ISNUMBER(E84),E84,IF(ISNUMBER(E79),E79,0))))))</f>
        <v>38.79952473784342</v>
      </c>
      <c r="F48" s="127">
        <f>IF(ISNUMBER(F114),F114,IF(ISNUMBER(F105),F105,IF(ISNUMBER(F97),F97,IF(ISNUMBER(F90),F90,IF(ISNUMBER(F84),F84,0)))))</f>
        <v>10.276404708876466</v>
      </c>
      <c r="G48" s="127">
        <f t="shared" si="19"/>
        <v>0</v>
      </c>
      <c r="H48" s="127">
        <f t="shared" si="20"/>
        <v>0</v>
      </c>
      <c r="I48" s="127">
        <f t="shared" si="21"/>
        <v>0</v>
      </c>
      <c r="J48" s="106">
        <f t="shared" si="22"/>
        <v>0</v>
      </c>
      <c r="R48" s="63" t="s">
        <v>75</v>
      </c>
      <c r="S48" s="126">
        <f>COUNTIF(K57:K65,"=1")</f>
        <v>5</v>
      </c>
    </row>
    <row r="49" spans="1:28" x14ac:dyDescent="0.25">
      <c r="A49" s="62">
        <v>4</v>
      </c>
      <c r="B49" s="105">
        <f>IF(ISNUMBER(B115),B115,IF(ISNUMBER(B106),B106,IF(ISNUMBER(B98),B98,IF(ISNUMBER(B91),B91,IF(ISNUMBER(B85),B85,IF(ISNUMBER(B80),B80,0))))))</f>
        <v>120.30746028718393</v>
      </c>
      <c r="C49" s="127">
        <f>IF(ISNUMBER(C115),C115,IF(ISNUMBER(C106),C106,IF(ISNUMBER(C98),C98,IF(ISNUMBER(C91),C91,IF(ISNUMBER(C85),C85,IF(ISNUMBER(C80),C80,0))))))</f>
        <v>-8.5918903799848927</v>
      </c>
      <c r="D49" s="127">
        <f>IF(ISNUMBER(D115),D115,IF(ISNUMBER(D106),D106,IF(ISNUMBER(D98),D98,IF(ISNUMBER(D91),D91,IF(ISNUMBER(D85),D85,IF(ISNUMBER(D80),D80,0))))))</f>
        <v>-33.99993212620042</v>
      </c>
      <c r="E49" s="127">
        <f>IF(ISNUMBER(E115),E115,IF(ISNUMBER(E106),E106,IF(ISNUMBER(E98),E98,IF(ISNUMBER(E91),E91,IF(ISNUMBER(E85),E85,IF(ISNUMBER(E80),E80,0))))))</f>
        <v>-0.84012520383112255</v>
      </c>
      <c r="F49" s="127">
        <f>IF(ISNUMBER(F115),F115,IF(ISNUMBER(F106),F106,IF(ISNUMBER(F98),F98,IF(ISNUMBER(F91),F91,IF(ISNUMBER(F85),F85,0)))))</f>
        <v>-2.8365930694380199</v>
      </c>
      <c r="G49" s="127">
        <f t="shared" si="19"/>
        <v>0</v>
      </c>
      <c r="H49" s="127">
        <f t="shared" si="20"/>
        <v>0</v>
      </c>
      <c r="I49" s="127">
        <f t="shared" si="21"/>
        <v>0</v>
      </c>
      <c r="J49" s="106">
        <f t="shared" si="22"/>
        <v>0</v>
      </c>
      <c r="Q49" s="63"/>
      <c r="R49" s="63" t="s">
        <v>28</v>
      </c>
      <c r="S49" s="126">
        <f>COUNTIF(N4:N13,"=1")-1</f>
        <v>5</v>
      </c>
    </row>
    <row r="50" spans="1:28" x14ac:dyDescent="0.25">
      <c r="A50" s="62">
        <v>5</v>
      </c>
      <c r="B50" s="105">
        <f>IF(ISNUMBER(B116),B116,IF(ISNUMBER(B107),B107,IF(ISNUMBER(B99),B99,IF(ISNUMBER(B92),B92,IF(ISNUMBER(B86),B86,0)))))</f>
        <v>-239.32494077654502</v>
      </c>
      <c r="C50" s="127">
        <f>IF(ISNUMBER(C116),C116,IF(ISNUMBER(C107),C107,IF(ISNUMBER(C99),C99,IF(ISNUMBER(C92),C92,IF(ISNUMBER(C86),C86,0)))))</f>
        <v>24.690448042299611</v>
      </c>
      <c r="D50" s="127">
        <f>IF(ISNUMBER(D116),D116,IF(ISNUMBER(D107),D107,IF(ISNUMBER(D99),D99,IF(ISNUMBER(D92),D92,IF(ISNUMBER(D86),D86,0)))))</f>
        <v>79.492715278447932</v>
      </c>
      <c r="E50" s="127">
        <f>IF(ISNUMBER(E116),E116,IF(ISNUMBER(E107),E107,IF(ISNUMBER(E99),E99,IF(ISNUMBER(E92),E92,IF(ISNUMBER(E86),E86,0)))))</f>
        <v>65.106065598242694</v>
      </c>
      <c r="F50" s="127">
        <f>IF(ISNUMBER(F116),F116,IF(ISNUMBER(F107),F107,IF(ISNUMBER(F99),F99,IF(ISNUMBER(F92),F92,IF(ISNUMBER(F86),F86,0)))))</f>
        <v>-57.386462090102661</v>
      </c>
      <c r="G50" s="127">
        <f t="shared" si="19"/>
        <v>0</v>
      </c>
      <c r="H50" s="127">
        <f t="shared" si="20"/>
        <v>0</v>
      </c>
      <c r="I50" s="127">
        <f t="shared" si="21"/>
        <v>0</v>
      </c>
      <c r="J50" s="106">
        <f t="shared" si="22"/>
        <v>0</v>
      </c>
      <c r="Q50" s="63"/>
    </row>
    <row r="51" spans="1:28" x14ac:dyDescent="0.25">
      <c r="A51" s="62">
        <v>6</v>
      </c>
      <c r="B51" s="105">
        <f>IF(ISNUMBER(B117),B117,IF(ISNUMBER(B108),B108,IF(ISNUMBER(B100),B100,IF(ISNUMBER(B93),B93,0))))</f>
        <v>0</v>
      </c>
      <c r="C51" s="127">
        <f>IF(ISNUMBER(C117),C117,IF(ISNUMBER(C108),C108,IF(ISNUMBER(C100),C100,IF(ISNUMBER(C93),C93,0))))</f>
        <v>0</v>
      </c>
      <c r="D51" s="127">
        <f>IF(ISNUMBER(D117),D117,IF(ISNUMBER(D108),D108,IF(ISNUMBER(D100),D100,IF(ISNUMBER(D93),D93,0))))</f>
        <v>0</v>
      </c>
      <c r="E51" s="127">
        <f>IF(ISNUMBER(E117),E117,IF(ISNUMBER(E108),E108,IF(ISNUMBER(E100),E100,IF(ISNUMBER(E93),E93,0))))</f>
        <v>0</v>
      </c>
      <c r="F51" s="127">
        <f>IF(ISNUMBER(F117),F117,IF(ISNUMBER(F108),F108,IF(ISNUMBER(F100),F100,IF(ISNUMBER(F93),F93,0))))</f>
        <v>0</v>
      </c>
      <c r="G51" s="127">
        <f t="shared" si="19"/>
        <v>0</v>
      </c>
      <c r="H51" s="127">
        <f t="shared" si="20"/>
        <v>0</v>
      </c>
      <c r="I51" s="127">
        <f t="shared" si="21"/>
        <v>0</v>
      </c>
      <c r="J51" s="106">
        <f t="shared" si="22"/>
        <v>0</v>
      </c>
      <c r="Q51" s="63"/>
    </row>
    <row r="52" spans="1:28" x14ac:dyDescent="0.25">
      <c r="A52" s="62">
        <v>7</v>
      </c>
      <c r="B52" s="105">
        <f t="shared" ref="B52:G52" si="23">IF(ISNUMBER(B118),B118,IF(ISNUMBER(B109),B109,IF(ISNUMBER(B101),B101,0)))</f>
        <v>0</v>
      </c>
      <c r="C52" s="127">
        <f t="shared" si="23"/>
        <v>0</v>
      </c>
      <c r="D52" s="127">
        <f t="shared" si="23"/>
        <v>0</v>
      </c>
      <c r="E52" s="127">
        <f t="shared" si="23"/>
        <v>0</v>
      </c>
      <c r="F52" s="127">
        <f t="shared" si="23"/>
        <v>0</v>
      </c>
      <c r="G52" s="127">
        <f t="shared" si="23"/>
        <v>0</v>
      </c>
      <c r="H52" s="127">
        <f t="shared" si="20"/>
        <v>0</v>
      </c>
      <c r="I52" s="127">
        <f t="shared" si="21"/>
        <v>0</v>
      </c>
      <c r="J52" s="106">
        <f t="shared" si="22"/>
        <v>0</v>
      </c>
      <c r="R52" s="198"/>
      <c r="S52" s="186"/>
      <c r="T52" s="129"/>
      <c r="U52" s="129"/>
      <c r="V52" s="129"/>
      <c r="W52" s="129"/>
      <c r="X52" s="129"/>
      <c r="Y52" s="129"/>
      <c r="Z52" s="129"/>
      <c r="AA52" s="129"/>
      <c r="AB52" s="129"/>
    </row>
    <row r="53" spans="1:28" x14ac:dyDescent="0.25">
      <c r="A53" s="62">
        <v>8</v>
      </c>
      <c r="B53" s="105">
        <f t="shared" ref="B53:H53" si="24">IF(ISNUMBER(B119),B119,IF(ISNUMBER(B110),B110,0))</f>
        <v>0</v>
      </c>
      <c r="C53" s="127">
        <f t="shared" si="24"/>
        <v>0</v>
      </c>
      <c r="D53" s="127">
        <f t="shared" si="24"/>
        <v>0</v>
      </c>
      <c r="E53" s="127">
        <f t="shared" si="24"/>
        <v>0</v>
      </c>
      <c r="F53" s="127">
        <f t="shared" si="24"/>
        <v>0</v>
      </c>
      <c r="G53" s="127">
        <f t="shared" si="24"/>
        <v>0</v>
      </c>
      <c r="H53" s="127">
        <f t="shared" si="24"/>
        <v>0</v>
      </c>
      <c r="I53" s="127">
        <f t="shared" si="21"/>
        <v>0</v>
      </c>
      <c r="J53" s="106">
        <f t="shared" si="22"/>
        <v>0</v>
      </c>
      <c r="R53" s="196"/>
      <c r="S53" s="127"/>
      <c r="T53" s="127"/>
      <c r="U53" s="127"/>
      <c r="V53" s="127"/>
      <c r="W53" s="127"/>
      <c r="X53" s="127"/>
      <c r="Y53" s="127"/>
      <c r="Z53" s="127"/>
      <c r="AA53" s="127"/>
      <c r="AB53" s="127"/>
    </row>
    <row r="54" spans="1:28" x14ac:dyDescent="0.25">
      <c r="A54" s="62">
        <v>9</v>
      </c>
      <c r="B54" s="107">
        <f t="shared" ref="B54:I54" si="25">IF(ISNUMBER(B120),B120,0)</f>
        <v>0</v>
      </c>
      <c r="C54" s="137">
        <f t="shared" si="25"/>
        <v>0</v>
      </c>
      <c r="D54" s="137">
        <f t="shared" si="25"/>
        <v>0</v>
      </c>
      <c r="E54" s="137">
        <f t="shared" si="25"/>
        <v>0</v>
      </c>
      <c r="F54" s="137">
        <f t="shared" si="25"/>
        <v>0</v>
      </c>
      <c r="G54" s="137">
        <f t="shared" si="25"/>
        <v>0</v>
      </c>
      <c r="H54" s="137">
        <f t="shared" si="25"/>
        <v>0</v>
      </c>
      <c r="I54" s="137">
        <f t="shared" si="25"/>
        <v>0</v>
      </c>
      <c r="J54" s="108">
        <f t="shared" si="22"/>
        <v>0</v>
      </c>
      <c r="R54" s="201"/>
      <c r="S54" s="202"/>
      <c r="T54" s="127"/>
      <c r="U54" s="127"/>
      <c r="V54" s="127"/>
      <c r="W54" s="127"/>
      <c r="X54" s="127"/>
      <c r="Y54" s="127"/>
      <c r="Z54" s="127"/>
      <c r="AA54" s="127"/>
      <c r="AB54" s="127"/>
    </row>
    <row r="55" spans="1:28" x14ac:dyDescent="0.25">
      <c r="R55" s="201"/>
      <c r="S55" s="202"/>
      <c r="T55" s="127"/>
      <c r="U55" s="127"/>
      <c r="V55" s="127"/>
      <c r="W55" s="127"/>
      <c r="X55" s="127"/>
      <c r="Y55" s="127"/>
      <c r="Z55" s="127"/>
      <c r="AA55" s="127"/>
      <c r="AB55" s="127"/>
    </row>
    <row r="56" spans="1:28" x14ac:dyDescent="0.25">
      <c r="A56" s="63" t="s">
        <v>137</v>
      </c>
      <c r="K56" s="67" t="s">
        <v>75</v>
      </c>
      <c r="Q56" s="77"/>
      <c r="R56" s="201"/>
      <c r="S56" s="202"/>
      <c r="T56" s="127"/>
      <c r="U56" s="127"/>
      <c r="V56" s="127"/>
      <c r="W56" s="127"/>
      <c r="X56" s="127"/>
      <c r="Y56" s="127"/>
      <c r="Z56" s="127"/>
      <c r="AA56" s="127"/>
      <c r="AB56" s="127"/>
    </row>
    <row r="57" spans="1:28" x14ac:dyDescent="0.25">
      <c r="B57" s="161">
        <f t="array" ref="B57:J65">MMULT(B46:J54,B34:J42)</f>
        <v>0.99999999999999911</v>
      </c>
      <c r="C57" s="134">
        <v>-2.2204460492503131E-16</v>
      </c>
      <c r="D57" s="134">
        <v>-4.4408920985006262E-16</v>
      </c>
      <c r="E57" s="134">
        <v>-5.5511151231257827E-16</v>
      </c>
      <c r="F57" s="134">
        <v>0</v>
      </c>
      <c r="G57" s="134">
        <v>0</v>
      </c>
      <c r="H57" s="134">
        <v>0</v>
      </c>
      <c r="I57" s="134">
        <v>0</v>
      </c>
      <c r="J57" s="98">
        <v>0</v>
      </c>
      <c r="K57" s="109">
        <f t="shared" ref="K57" si="26">ROUND(B57,9)</f>
        <v>1</v>
      </c>
      <c r="Q57" s="77"/>
      <c r="R57" s="196"/>
      <c r="S57" s="127"/>
      <c r="T57" s="127"/>
      <c r="U57" s="127"/>
      <c r="V57" s="127"/>
      <c r="W57" s="127"/>
      <c r="X57" s="127"/>
      <c r="Y57" s="127"/>
      <c r="Z57" s="127"/>
      <c r="AA57" s="127"/>
      <c r="AB57" s="127"/>
    </row>
    <row r="58" spans="1:28" x14ac:dyDescent="0.25">
      <c r="A58" s="129"/>
      <c r="B58" s="99">
        <v>-1.3322676295501878E-15</v>
      </c>
      <c r="C58" s="161">
        <v>0.99999999999999822</v>
      </c>
      <c r="D58" s="128">
        <v>4.4408920985006262E-16</v>
      </c>
      <c r="E58" s="128">
        <v>-7.7715611723760958E-16</v>
      </c>
      <c r="F58" s="128">
        <v>-5.5511151231257827E-17</v>
      </c>
      <c r="G58" s="128">
        <v>0</v>
      </c>
      <c r="H58" s="128">
        <v>0</v>
      </c>
      <c r="I58" s="128">
        <v>0</v>
      </c>
      <c r="J58" s="100">
        <v>0</v>
      </c>
      <c r="K58" s="109">
        <f>ROUND(C58,9)</f>
        <v>1</v>
      </c>
      <c r="Q58" s="77"/>
      <c r="R58" s="196"/>
      <c r="S58" s="127"/>
      <c r="T58" s="127"/>
      <c r="U58" s="127"/>
      <c r="V58" s="127"/>
      <c r="W58" s="127"/>
      <c r="X58" s="127"/>
      <c r="Y58" s="127"/>
      <c r="Z58" s="127"/>
      <c r="AA58" s="127"/>
      <c r="AB58" s="127"/>
    </row>
    <row r="59" spans="1:28" x14ac:dyDescent="0.25">
      <c r="A59" s="129"/>
      <c r="B59" s="99">
        <v>3.1086244689504383E-15</v>
      </c>
      <c r="C59" s="128">
        <v>4.4408920985006262E-15</v>
      </c>
      <c r="D59" s="161">
        <v>1.0000000000000009</v>
      </c>
      <c r="E59" s="128">
        <v>3.1086244689504383E-15</v>
      </c>
      <c r="F59" s="128">
        <v>9.4368957093138306E-16</v>
      </c>
      <c r="G59" s="128">
        <v>0</v>
      </c>
      <c r="H59" s="128">
        <v>0</v>
      </c>
      <c r="I59" s="128">
        <v>0</v>
      </c>
      <c r="J59" s="100">
        <v>0</v>
      </c>
      <c r="K59" s="109">
        <f>ROUND(D59,9)</f>
        <v>1</v>
      </c>
      <c r="R59" s="196"/>
      <c r="S59" s="127"/>
      <c r="T59" s="127"/>
      <c r="U59" s="127"/>
      <c r="V59" s="127"/>
      <c r="W59" s="127"/>
      <c r="X59" s="127"/>
      <c r="Y59" s="127"/>
      <c r="Z59" s="127"/>
      <c r="AA59" s="127"/>
      <c r="AB59" s="127"/>
    </row>
    <row r="60" spans="1:28" x14ac:dyDescent="0.25">
      <c r="A60" s="129"/>
      <c r="B60" s="99">
        <v>-1.5543122344752192E-15</v>
      </c>
      <c r="C60" s="128">
        <v>-1.7763568394002505E-15</v>
      </c>
      <c r="D60" s="128">
        <v>-4.4408920985006262E-16</v>
      </c>
      <c r="E60" s="161">
        <v>0.99999999999999845</v>
      </c>
      <c r="F60" s="128">
        <v>-4.4408920985006262E-16</v>
      </c>
      <c r="G60" s="128">
        <v>0</v>
      </c>
      <c r="H60" s="128">
        <v>0</v>
      </c>
      <c r="I60" s="128">
        <v>0</v>
      </c>
      <c r="J60" s="100">
        <v>0</v>
      </c>
      <c r="K60" s="109">
        <f>ROUND(E60,9)</f>
        <v>1</v>
      </c>
      <c r="R60" s="196"/>
      <c r="S60" s="127"/>
      <c r="T60" s="127"/>
      <c r="U60" s="127"/>
      <c r="V60" s="127"/>
      <c r="W60" s="127"/>
      <c r="X60" s="127"/>
      <c r="Y60" s="127"/>
      <c r="Z60" s="127"/>
      <c r="AA60" s="127"/>
      <c r="AB60" s="127"/>
    </row>
    <row r="61" spans="1:28" x14ac:dyDescent="0.25">
      <c r="A61" s="129"/>
      <c r="B61" s="99">
        <v>-3.5527136788005009E-15</v>
      </c>
      <c r="C61" s="128">
        <v>-3.5527136788005009E-15</v>
      </c>
      <c r="D61" s="128">
        <v>-1.7763568394002505E-15</v>
      </c>
      <c r="E61" s="128">
        <v>-8.8817841970012523E-16</v>
      </c>
      <c r="F61" s="161">
        <v>1</v>
      </c>
      <c r="G61" s="128">
        <v>0</v>
      </c>
      <c r="H61" s="128">
        <v>0</v>
      </c>
      <c r="I61" s="128">
        <v>0</v>
      </c>
      <c r="J61" s="100">
        <v>0</v>
      </c>
      <c r="K61" s="109">
        <f>ROUND(F61,9)</f>
        <v>1</v>
      </c>
      <c r="R61" s="196"/>
      <c r="S61" s="127"/>
      <c r="T61" s="127"/>
      <c r="U61" s="127"/>
      <c r="V61" s="127"/>
      <c r="W61" s="127"/>
      <c r="X61" s="127"/>
      <c r="Y61" s="127"/>
      <c r="Z61" s="127"/>
      <c r="AA61" s="127"/>
      <c r="AB61" s="127"/>
    </row>
    <row r="62" spans="1:28" x14ac:dyDescent="0.25">
      <c r="A62" s="129"/>
      <c r="B62" s="99">
        <v>0</v>
      </c>
      <c r="C62" s="128">
        <v>0</v>
      </c>
      <c r="D62" s="128">
        <v>0</v>
      </c>
      <c r="E62" s="128">
        <v>0</v>
      </c>
      <c r="F62" s="128">
        <v>0</v>
      </c>
      <c r="G62" s="161">
        <v>0</v>
      </c>
      <c r="H62" s="128">
        <v>0</v>
      </c>
      <c r="I62" s="128">
        <v>0</v>
      </c>
      <c r="J62" s="100">
        <v>0</v>
      </c>
      <c r="K62" s="109">
        <f>ROUND(G62,9)</f>
        <v>0</v>
      </c>
      <c r="R62" s="196"/>
      <c r="S62" s="127"/>
      <c r="T62" s="127"/>
      <c r="U62" s="127"/>
      <c r="V62" s="127"/>
      <c r="W62" s="127"/>
      <c r="X62" s="127"/>
      <c r="Y62" s="127"/>
      <c r="Z62" s="127"/>
      <c r="AA62" s="127"/>
      <c r="AB62" s="127"/>
    </row>
    <row r="63" spans="1:28" x14ac:dyDescent="0.25">
      <c r="A63" s="129"/>
      <c r="B63" s="99">
        <v>0</v>
      </c>
      <c r="C63" s="128">
        <v>0</v>
      </c>
      <c r="D63" s="128">
        <v>0</v>
      </c>
      <c r="E63" s="128">
        <v>0</v>
      </c>
      <c r="F63" s="128">
        <v>0</v>
      </c>
      <c r="G63" s="128">
        <v>0</v>
      </c>
      <c r="H63" s="161">
        <v>0</v>
      </c>
      <c r="I63" s="128">
        <v>0</v>
      </c>
      <c r="J63" s="100">
        <v>0</v>
      </c>
      <c r="K63" s="109">
        <f>ROUND(H63,9)</f>
        <v>0</v>
      </c>
      <c r="R63" s="129"/>
      <c r="S63" s="129"/>
      <c r="T63" s="129"/>
      <c r="U63" s="129"/>
      <c r="V63" s="129"/>
      <c r="W63" s="129"/>
      <c r="X63" s="129"/>
      <c r="Y63" s="129"/>
      <c r="Z63" s="129"/>
      <c r="AA63" s="129"/>
      <c r="AB63" s="129"/>
    </row>
    <row r="64" spans="1:28" x14ac:dyDescent="0.25">
      <c r="A64" s="129"/>
      <c r="B64" s="99">
        <v>0</v>
      </c>
      <c r="C64" s="128">
        <v>0</v>
      </c>
      <c r="D64" s="128">
        <v>0</v>
      </c>
      <c r="E64" s="128">
        <v>0</v>
      </c>
      <c r="F64" s="128">
        <v>0</v>
      </c>
      <c r="G64" s="128">
        <v>0</v>
      </c>
      <c r="H64" s="128">
        <v>0</v>
      </c>
      <c r="I64" s="161">
        <v>0</v>
      </c>
      <c r="J64" s="100">
        <v>0</v>
      </c>
      <c r="K64" s="109">
        <f>ROUND(I64,9)</f>
        <v>0</v>
      </c>
    </row>
    <row r="65" spans="1:14" x14ac:dyDescent="0.25">
      <c r="A65" s="129"/>
      <c r="B65" s="102">
        <v>0</v>
      </c>
      <c r="C65" s="135">
        <v>0</v>
      </c>
      <c r="D65" s="135">
        <v>0</v>
      </c>
      <c r="E65" s="135">
        <v>0</v>
      </c>
      <c r="F65" s="135">
        <v>0</v>
      </c>
      <c r="G65" s="135">
        <v>0</v>
      </c>
      <c r="H65" s="135">
        <v>0</v>
      </c>
      <c r="I65" s="135">
        <v>0</v>
      </c>
      <c r="J65" s="161">
        <v>0</v>
      </c>
      <c r="K65" s="109">
        <f>ROUND(J65,9)</f>
        <v>0</v>
      </c>
    </row>
    <row r="66" spans="1:14" x14ac:dyDescent="0.25">
      <c r="A66" s="129"/>
      <c r="B66" s="129"/>
      <c r="C66" s="129"/>
      <c r="D66" s="129"/>
    </row>
    <row r="67" spans="1:14" x14ac:dyDescent="0.25">
      <c r="A67" s="63" t="s">
        <v>135</v>
      </c>
      <c r="K67" s="129"/>
      <c r="L67" s="129"/>
      <c r="M67" s="129"/>
      <c r="N67" s="129"/>
    </row>
    <row r="68" spans="1:14" x14ac:dyDescent="0.25">
      <c r="B68" s="139">
        <f t="array" ref="B68">MINVERSE(B34)</f>
        <v>12.565971349585325</v>
      </c>
      <c r="C68" s="127"/>
      <c r="D68" s="151"/>
      <c r="E68" s="151"/>
      <c r="F68" s="151"/>
      <c r="G68" s="151"/>
      <c r="H68" s="151"/>
    </row>
    <row r="69" spans="1:14" x14ac:dyDescent="0.25">
      <c r="B69" s="127"/>
      <c r="C69" s="127"/>
      <c r="D69" s="151"/>
      <c r="E69" s="151"/>
      <c r="F69" s="151"/>
      <c r="G69" s="151"/>
      <c r="H69" s="151"/>
    </row>
    <row r="70" spans="1:14" x14ac:dyDescent="0.25">
      <c r="B70" s="103">
        <f t="array" ref="B70:C71">MINVERSE(B34:C35)</f>
        <v>113.00338778566048</v>
      </c>
      <c r="C70" s="104">
        <v>-49.195602880426257</v>
      </c>
      <c r="D70" s="127"/>
      <c r="E70" s="127"/>
      <c r="F70" s="152"/>
      <c r="G70" s="152"/>
      <c r="H70" s="152"/>
      <c r="I70" s="152"/>
      <c r="J70" s="152"/>
    </row>
    <row r="71" spans="1:14" x14ac:dyDescent="0.25">
      <c r="B71" s="107">
        <v>-87.506126559917405</v>
      </c>
      <c r="C71" s="108">
        <v>42.861682474538199</v>
      </c>
      <c r="D71" s="127"/>
      <c r="E71" s="127"/>
      <c r="F71" s="152"/>
      <c r="G71" s="152"/>
      <c r="H71" s="152"/>
      <c r="I71" s="152"/>
      <c r="J71" s="152"/>
    </row>
    <row r="72" spans="1:14" x14ac:dyDescent="0.25">
      <c r="B72" s="127"/>
      <c r="C72" s="127"/>
      <c r="D72" s="127"/>
      <c r="E72" s="127"/>
      <c r="F72" s="152"/>
      <c r="G72" s="152"/>
      <c r="H72" s="152"/>
      <c r="I72" s="152"/>
      <c r="J72" s="152"/>
    </row>
    <row r="73" spans="1:14" x14ac:dyDescent="0.25">
      <c r="B73" s="103">
        <f t="array" ref="B73:D75">MINVERSE(B34:D36)</f>
        <v>592.27093466899544</v>
      </c>
      <c r="C73" s="136">
        <v>-52.756061408721301</v>
      </c>
      <c r="D73" s="104">
        <v>-185.84752700946856</v>
      </c>
      <c r="E73" s="127"/>
      <c r="F73" s="152"/>
      <c r="G73" s="152"/>
      <c r="H73" s="151"/>
      <c r="I73" s="151"/>
      <c r="J73" s="151"/>
    </row>
    <row r="74" spans="1:14" x14ac:dyDescent="0.25">
      <c r="B74" s="105">
        <v>-1092.7177478476076</v>
      </c>
      <c r="C74" s="127">
        <v>50.329357498706443</v>
      </c>
      <c r="D74" s="106">
        <v>389.79500104348</v>
      </c>
      <c r="E74" s="127"/>
      <c r="F74" s="152"/>
      <c r="G74" s="152"/>
      <c r="H74" s="151"/>
      <c r="I74" s="151"/>
      <c r="J74" s="151"/>
    </row>
    <row r="75" spans="1:14" x14ac:dyDescent="0.25">
      <c r="B75" s="107">
        <v>1281.0481648554141</v>
      </c>
      <c r="C75" s="137">
        <v>-9.5168531509739331</v>
      </c>
      <c r="D75" s="108">
        <v>-496.75726004529758</v>
      </c>
      <c r="E75" s="127"/>
      <c r="F75" s="152"/>
      <c r="G75" s="152"/>
      <c r="H75" s="151"/>
      <c r="I75" s="151"/>
      <c r="J75" s="151"/>
    </row>
    <row r="76" spans="1:14" x14ac:dyDescent="0.25">
      <c r="B76" s="127"/>
      <c r="C76" s="127"/>
      <c r="D76" s="127"/>
      <c r="E76" s="127"/>
      <c r="F76" s="152"/>
      <c r="G76" s="152"/>
      <c r="H76" s="151"/>
      <c r="I76" s="151"/>
      <c r="J76" s="151"/>
    </row>
    <row r="77" spans="1:14" x14ac:dyDescent="0.25">
      <c r="B77" s="103">
        <f t="array" ref="B77:E80">MINVERSE(B34:E37)</f>
        <v>-49.442207757638279</v>
      </c>
      <c r="C77" s="136">
        <v>-5.1033101595407109</v>
      </c>
      <c r="D77" s="136">
        <v>-1.647442737262957</v>
      </c>
      <c r="E77" s="104">
        <v>19.708768172889531</v>
      </c>
      <c r="F77" s="152"/>
      <c r="G77" s="152"/>
      <c r="H77" s="151"/>
      <c r="I77" s="151"/>
      <c r="J77" s="151"/>
    </row>
    <row r="78" spans="1:14" x14ac:dyDescent="0.25">
      <c r="B78" s="105">
        <v>161.46008346413387</v>
      </c>
      <c r="C78" s="127">
        <v>-42.804194343062264</v>
      </c>
      <c r="D78" s="127">
        <v>29.790433665670651</v>
      </c>
      <c r="E78" s="106">
        <v>-38.519236229802594</v>
      </c>
      <c r="F78" s="152"/>
      <c r="G78" s="152"/>
      <c r="H78" s="151"/>
      <c r="I78" s="151"/>
      <c r="J78" s="151"/>
    </row>
    <row r="79" spans="1:14" x14ac:dyDescent="0.25">
      <c r="B79" s="105">
        <v>-361.86318330367936</v>
      </c>
      <c r="C79" s="127">
        <v>112.48352462254498</v>
      </c>
      <c r="D79" s="127">
        <v>-25.168961824856233</v>
      </c>
      <c r="E79" s="106">
        <v>50.45830722280855</v>
      </c>
      <c r="F79" s="152"/>
      <c r="G79" s="152"/>
      <c r="H79" s="151"/>
      <c r="I79" s="151"/>
      <c r="J79" s="151"/>
    </row>
    <row r="80" spans="1:14" x14ac:dyDescent="0.25">
      <c r="B80" s="107">
        <v>132.13720973722897</v>
      </c>
      <c r="C80" s="137">
        <v>-9.812330728583925</v>
      </c>
      <c r="D80" s="137">
        <v>-37.929229682052757</v>
      </c>
      <c r="E80" s="108">
        <v>-4.0582956176891587</v>
      </c>
      <c r="F80" s="152"/>
      <c r="G80" s="152"/>
      <c r="H80" s="151"/>
      <c r="I80" s="151"/>
      <c r="J80" s="151"/>
    </row>
    <row r="81" spans="2:10" x14ac:dyDescent="0.25">
      <c r="B81" s="152"/>
      <c r="C81" s="152"/>
      <c r="D81" s="152"/>
      <c r="E81" s="152"/>
      <c r="F81" s="152"/>
      <c r="G81" s="152"/>
      <c r="H81" s="152"/>
      <c r="I81" s="152"/>
      <c r="J81" s="152"/>
    </row>
    <row r="82" spans="2:10" x14ac:dyDescent="0.25">
      <c r="B82" s="153">
        <f t="array" ref="B82:F86">MINVERSE(B34:F38)</f>
        <v>-64.271421243618974</v>
      </c>
      <c r="C82" s="154">
        <v>-3.5734239558891203</v>
      </c>
      <c r="D82" s="154">
        <v>3.2781385315319351</v>
      </c>
      <c r="E82" s="154">
        <v>23.742914145540396</v>
      </c>
      <c r="F82" s="155">
        <v>-3.5558186905970737</v>
      </c>
      <c r="G82" s="152"/>
      <c r="H82" s="152"/>
      <c r="I82" s="152"/>
      <c r="J82" s="152"/>
    </row>
    <row r="83" spans="2:10" x14ac:dyDescent="0.25">
      <c r="B83" s="156">
        <v>194.39206288491528</v>
      </c>
      <c r="C83" s="152">
        <v>-46.201689498312561</v>
      </c>
      <c r="D83" s="152">
        <v>18.851947876610492</v>
      </c>
      <c r="E83" s="152">
        <v>-47.478066870238315</v>
      </c>
      <c r="F83" s="157">
        <v>7.8965852136040198</v>
      </c>
      <c r="G83" s="152"/>
      <c r="H83" s="152"/>
      <c r="I83" s="152"/>
      <c r="J83" s="152"/>
    </row>
    <row r="84" spans="2:10" x14ac:dyDescent="0.25">
      <c r="B84" s="156">
        <v>-319.00638644301608</v>
      </c>
      <c r="C84" s="152">
        <v>108.06211533392596</v>
      </c>
      <c r="D84" s="152">
        <v>-39.404014550814487</v>
      </c>
      <c r="E84" s="152">
        <v>38.79952473784342</v>
      </c>
      <c r="F84" s="157">
        <v>10.276404708876466</v>
      </c>
      <c r="G84" s="151"/>
      <c r="H84" s="152"/>
      <c r="I84" s="152"/>
      <c r="J84" s="152"/>
    </row>
    <row r="85" spans="2:10" x14ac:dyDescent="0.25">
      <c r="B85" s="156">
        <v>120.30746028718393</v>
      </c>
      <c r="C85" s="152">
        <v>-8.5918903799848927</v>
      </c>
      <c r="D85" s="152">
        <v>-33.99993212620042</v>
      </c>
      <c r="E85" s="152">
        <v>-0.84012520383112255</v>
      </c>
      <c r="F85" s="157">
        <v>-2.8365930694380199</v>
      </c>
      <c r="G85" s="151"/>
      <c r="H85" s="152"/>
      <c r="I85" s="152"/>
      <c r="J85" s="152"/>
    </row>
    <row r="86" spans="2:10" x14ac:dyDescent="0.25">
      <c r="B86" s="158">
        <v>-239.32494077654502</v>
      </c>
      <c r="C86" s="159">
        <v>24.690448042299611</v>
      </c>
      <c r="D86" s="159">
        <v>79.492715278447932</v>
      </c>
      <c r="E86" s="159">
        <v>65.106065598242694</v>
      </c>
      <c r="F86" s="160">
        <v>-57.386462090102661</v>
      </c>
      <c r="G86" s="151"/>
      <c r="H86" s="152"/>
      <c r="I86" s="129"/>
      <c r="J86" s="129"/>
    </row>
    <row r="87" spans="2:10" x14ac:dyDescent="0.25">
      <c r="B87" s="151"/>
      <c r="C87" s="151"/>
      <c r="D87" s="151"/>
      <c r="E87" s="151"/>
      <c r="F87" s="151"/>
      <c r="G87" s="151"/>
      <c r="H87" s="152"/>
      <c r="I87" s="129"/>
      <c r="J87" s="129"/>
    </row>
    <row r="88" spans="2:10" x14ac:dyDescent="0.25">
      <c r="B88" s="153" t="e">
        <f t="array" ref="B88:G93">MINVERSE(B34:G39)</f>
        <v>#NUM!</v>
      </c>
      <c r="C88" s="154" t="e">
        <v>#NUM!</v>
      </c>
      <c r="D88" s="154" t="e">
        <v>#NUM!</v>
      </c>
      <c r="E88" s="154" t="e">
        <v>#NUM!</v>
      </c>
      <c r="F88" s="154" t="e">
        <v>#NUM!</v>
      </c>
      <c r="G88" s="155" t="e">
        <v>#NUM!</v>
      </c>
      <c r="H88" s="152"/>
      <c r="I88" s="129"/>
      <c r="J88" s="129"/>
    </row>
    <row r="89" spans="2:10" x14ac:dyDescent="0.25">
      <c r="B89" s="156" t="e">
        <v>#NUM!</v>
      </c>
      <c r="C89" s="152" t="e">
        <v>#NUM!</v>
      </c>
      <c r="D89" s="152" t="e">
        <v>#NUM!</v>
      </c>
      <c r="E89" s="152" t="e">
        <v>#NUM!</v>
      </c>
      <c r="F89" s="152" t="e">
        <v>#NUM!</v>
      </c>
      <c r="G89" s="157" t="e">
        <v>#NUM!</v>
      </c>
      <c r="H89" s="152"/>
      <c r="I89" s="129"/>
      <c r="J89" s="129"/>
    </row>
    <row r="90" spans="2:10" x14ac:dyDescent="0.25">
      <c r="B90" s="156" t="e">
        <v>#NUM!</v>
      </c>
      <c r="C90" s="152" t="e">
        <v>#NUM!</v>
      </c>
      <c r="D90" s="152" t="e">
        <v>#NUM!</v>
      </c>
      <c r="E90" s="152" t="e">
        <v>#NUM!</v>
      </c>
      <c r="F90" s="152" t="e">
        <v>#NUM!</v>
      </c>
      <c r="G90" s="157" t="e">
        <v>#NUM!</v>
      </c>
      <c r="H90" s="152"/>
      <c r="I90" s="129"/>
      <c r="J90" s="129"/>
    </row>
    <row r="91" spans="2:10" x14ac:dyDescent="0.25">
      <c r="B91" s="156" t="e">
        <v>#NUM!</v>
      </c>
      <c r="C91" s="152" t="e">
        <v>#NUM!</v>
      </c>
      <c r="D91" s="152" t="e">
        <v>#NUM!</v>
      </c>
      <c r="E91" s="152" t="e">
        <v>#NUM!</v>
      </c>
      <c r="F91" s="152" t="e">
        <v>#NUM!</v>
      </c>
      <c r="G91" s="157" t="e">
        <v>#NUM!</v>
      </c>
      <c r="H91" s="152"/>
      <c r="I91" s="129"/>
      <c r="J91" s="129"/>
    </row>
    <row r="92" spans="2:10" x14ac:dyDescent="0.25">
      <c r="B92" s="156" t="e">
        <v>#NUM!</v>
      </c>
      <c r="C92" s="152" t="e">
        <v>#NUM!</v>
      </c>
      <c r="D92" s="152" t="e">
        <v>#NUM!</v>
      </c>
      <c r="E92" s="152" t="e">
        <v>#NUM!</v>
      </c>
      <c r="F92" s="152" t="e">
        <v>#NUM!</v>
      </c>
      <c r="G92" s="157" t="e">
        <v>#NUM!</v>
      </c>
      <c r="H92" s="152"/>
      <c r="I92" s="129"/>
      <c r="J92" s="129"/>
    </row>
    <row r="93" spans="2:10" x14ac:dyDescent="0.25">
      <c r="B93" s="158" t="e">
        <v>#NUM!</v>
      </c>
      <c r="C93" s="159" t="e">
        <v>#NUM!</v>
      </c>
      <c r="D93" s="159" t="e">
        <v>#NUM!</v>
      </c>
      <c r="E93" s="159" t="e">
        <v>#NUM!</v>
      </c>
      <c r="F93" s="159" t="e">
        <v>#NUM!</v>
      </c>
      <c r="G93" s="160" t="e">
        <v>#NUM!</v>
      </c>
      <c r="H93" s="152"/>
      <c r="I93" s="129"/>
      <c r="J93" s="129"/>
    </row>
    <row r="94" spans="2:10" x14ac:dyDescent="0.25">
      <c r="B94" s="151"/>
      <c r="C94" s="151"/>
      <c r="D94" s="151"/>
      <c r="E94" s="151"/>
      <c r="F94" s="151"/>
      <c r="G94" s="151"/>
      <c r="H94" s="151"/>
    </row>
    <row r="95" spans="2:10" x14ac:dyDescent="0.25">
      <c r="B95" s="153" t="e">
        <f t="array" ref="B95:H101">MINVERSE(B34:H40)</f>
        <v>#NUM!</v>
      </c>
      <c r="C95" s="154" t="e">
        <v>#NUM!</v>
      </c>
      <c r="D95" s="154" t="e">
        <v>#NUM!</v>
      </c>
      <c r="E95" s="154" t="e">
        <v>#NUM!</v>
      </c>
      <c r="F95" s="154" t="e">
        <v>#NUM!</v>
      </c>
      <c r="G95" s="154" t="e">
        <v>#NUM!</v>
      </c>
      <c r="H95" s="155" t="e">
        <v>#NUM!</v>
      </c>
    </row>
    <row r="96" spans="2:10" x14ac:dyDescent="0.25">
      <c r="B96" s="156" t="e">
        <v>#NUM!</v>
      </c>
      <c r="C96" s="152" t="e">
        <v>#NUM!</v>
      </c>
      <c r="D96" s="152" t="e">
        <v>#NUM!</v>
      </c>
      <c r="E96" s="152" t="e">
        <v>#NUM!</v>
      </c>
      <c r="F96" s="152" t="e">
        <v>#NUM!</v>
      </c>
      <c r="G96" s="152" t="e">
        <v>#NUM!</v>
      </c>
      <c r="H96" s="157" t="e">
        <v>#NUM!</v>
      </c>
    </row>
    <row r="97" spans="2:10" x14ac:dyDescent="0.25">
      <c r="B97" s="156" t="e">
        <v>#NUM!</v>
      </c>
      <c r="C97" s="152" t="e">
        <v>#NUM!</v>
      </c>
      <c r="D97" s="152" t="e">
        <v>#NUM!</v>
      </c>
      <c r="E97" s="152" t="e">
        <v>#NUM!</v>
      </c>
      <c r="F97" s="152" t="e">
        <v>#NUM!</v>
      </c>
      <c r="G97" s="152" t="e">
        <v>#NUM!</v>
      </c>
      <c r="H97" s="157" t="e">
        <v>#NUM!</v>
      </c>
    </row>
    <row r="98" spans="2:10" x14ac:dyDescent="0.25">
      <c r="B98" s="156" t="e">
        <v>#NUM!</v>
      </c>
      <c r="C98" s="152" t="e">
        <v>#NUM!</v>
      </c>
      <c r="D98" s="152" t="e">
        <v>#NUM!</v>
      </c>
      <c r="E98" s="152" t="e">
        <v>#NUM!</v>
      </c>
      <c r="F98" s="152" t="e">
        <v>#NUM!</v>
      </c>
      <c r="G98" s="152" t="e">
        <v>#NUM!</v>
      </c>
      <c r="H98" s="157" t="e">
        <v>#NUM!</v>
      </c>
    </row>
    <row r="99" spans="2:10" x14ac:dyDescent="0.25">
      <c r="B99" s="156" t="e">
        <v>#NUM!</v>
      </c>
      <c r="C99" s="152" t="e">
        <v>#NUM!</v>
      </c>
      <c r="D99" s="152" t="e">
        <v>#NUM!</v>
      </c>
      <c r="E99" s="152" t="e">
        <v>#NUM!</v>
      </c>
      <c r="F99" s="152" t="e">
        <v>#NUM!</v>
      </c>
      <c r="G99" s="152" t="e">
        <v>#NUM!</v>
      </c>
      <c r="H99" s="157" t="e">
        <v>#NUM!</v>
      </c>
    </row>
    <row r="100" spans="2:10" x14ac:dyDescent="0.25">
      <c r="B100" s="156" t="e">
        <v>#NUM!</v>
      </c>
      <c r="C100" s="152" t="e">
        <v>#NUM!</v>
      </c>
      <c r="D100" s="152" t="e">
        <v>#NUM!</v>
      </c>
      <c r="E100" s="152" t="e">
        <v>#NUM!</v>
      </c>
      <c r="F100" s="152" t="e">
        <v>#NUM!</v>
      </c>
      <c r="G100" s="152" t="e">
        <v>#NUM!</v>
      </c>
      <c r="H100" s="157" t="e">
        <v>#NUM!</v>
      </c>
    </row>
    <row r="101" spans="2:10" x14ac:dyDescent="0.25">
      <c r="B101" s="158" t="e">
        <v>#NUM!</v>
      </c>
      <c r="C101" s="159" t="e">
        <v>#NUM!</v>
      </c>
      <c r="D101" s="159" t="e">
        <v>#NUM!</v>
      </c>
      <c r="E101" s="159" t="e">
        <v>#NUM!</v>
      </c>
      <c r="F101" s="159" t="e">
        <v>#NUM!</v>
      </c>
      <c r="G101" s="159" t="e">
        <v>#NUM!</v>
      </c>
      <c r="H101" s="160" t="e">
        <v>#NUM!</v>
      </c>
    </row>
    <row r="102" spans="2:10" x14ac:dyDescent="0.25">
      <c r="B102" s="151"/>
      <c r="C102" s="151"/>
      <c r="D102" s="151"/>
      <c r="E102" s="151"/>
      <c r="F102" s="151"/>
      <c r="G102" s="151"/>
      <c r="H102" s="151"/>
    </row>
    <row r="103" spans="2:10" x14ac:dyDescent="0.25">
      <c r="B103" s="153" t="e">
        <f t="array" ref="B103:I110">MINVERSE(B34:I41)</f>
        <v>#NUM!</v>
      </c>
      <c r="C103" s="154" t="e">
        <v>#NUM!</v>
      </c>
      <c r="D103" s="154" t="e">
        <v>#NUM!</v>
      </c>
      <c r="E103" s="154" t="e">
        <v>#NUM!</v>
      </c>
      <c r="F103" s="154" t="e">
        <v>#NUM!</v>
      </c>
      <c r="G103" s="154" t="e">
        <v>#NUM!</v>
      </c>
      <c r="H103" s="154" t="e">
        <v>#NUM!</v>
      </c>
      <c r="I103" s="155" t="e">
        <v>#NUM!</v>
      </c>
      <c r="J103" s="151"/>
    </row>
    <row r="104" spans="2:10" x14ac:dyDescent="0.25">
      <c r="B104" s="156" t="e">
        <v>#NUM!</v>
      </c>
      <c r="C104" s="152" t="e">
        <v>#NUM!</v>
      </c>
      <c r="D104" s="152" t="e">
        <v>#NUM!</v>
      </c>
      <c r="E104" s="152" t="e">
        <v>#NUM!</v>
      </c>
      <c r="F104" s="152" t="e">
        <v>#NUM!</v>
      </c>
      <c r="G104" s="152" t="e">
        <v>#NUM!</v>
      </c>
      <c r="H104" s="152" t="e">
        <v>#NUM!</v>
      </c>
      <c r="I104" s="157" t="e">
        <v>#NUM!</v>
      </c>
      <c r="J104" s="151"/>
    </row>
    <row r="105" spans="2:10" x14ac:dyDescent="0.25">
      <c r="B105" s="156" t="e">
        <v>#NUM!</v>
      </c>
      <c r="C105" s="152" t="e">
        <v>#NUM!</v>
      </c>
      <c r="D105" s="152" t="e">
        <v>#NUM!</v>
      </c>
      <c r="E105" s="152" t="e">
        <v>#NUM!</v>
      </c>
      <c r="F105" s="152" t="e">
        <v>#NUM!</v>
      </c>
      <c r="G105" s="152" t="e">
        <v>#NUM!</v>
      </c>
      <c r="H105" s="152" t="e">
        <v>#NUM!</v>
      </c>
      <c r="I105" s="157" t="e">
        <v>#NUM!</v>
      </c>
      <c r="J105" s="151"/>
    </row>
    <row r="106" spans="2:10" x14ac:dyDescent="0.25">
      <c r="B106" s="156" t="e">
        <v>#NUM!</v>
      </c>
      <c r="C106" s="152" t="e">
        <v>#NUM!</v>
      </c>
      <c r="D106" s="152" t="e">
        <v>#NUM!</v>
      </c>
      <c r="E106" s="152" t="e">
        <v>#NUM!</v>
      </c>
      <c r="F106" s="152" t="e">
        <v>#NUM!</v>
      </c>
      <c r="G106" s="152" t="e">
        <v>#NUM!</v>
      </c>
      <c r="H106" s="152" t="e">
        <v>#NUM!</v>
      </c>
      <c r="I106" s="157" t="e">
        <v>#NUM!</v>
      </c>
      <c r="J106" s="151"/>
    </row>
    <row r="107" spans="2:10" x14ac:dyDescent="0.25">
      <c r="B107" s="156" t="e">
        <v>#NUM!</v>
      </c>
      <c r="C107" s="152" t="e">
        <v>#NUM!</v>
      </c>
      <c r="D107" s="152" t="e">
        <v>#NUM!</v>
      </c>
      <c r="E107" s="152" t="e">
        <v>#NUM!</v>
      </c>
      <c r="F107" s="152" t="e">
        <v>#NUM!</v>
      </c>
      <c r="G107" s="152" t="e">
        <v>#NUM!</v>
      </c>
      <c r="H107" s="152" t="e">
        <v>#NUM!</v>
      </c>
      <c r="I107" s="157" t="e">
        <v>#NUM!</v>
      </c>
      <c r="J107" s="151"/>
    </row>
    <row r="108" spans="2:10" x14ac:dyDescent="0.25">
      <c r="B108" s="156" t="e">
        <v>#NUM!</v>
      </c>
      <c r="C108" s="152" t="e">
        <v>#NUM!</v>
      </c>
      <c r="D108" s="152" t="e">
        <v>#NUM!</v>
      </c>
      <c r="E108" s="152" t="e">
        <v>#NUM!</v>
      </c>
      <c r="F108" s="152" t="e">
        <v>#NUM!</v>
      </c>
      <c r="G108" s="152" t="e">
        <v>#NUM!</v>
      </c>
      <c r="H108" s="152" t="e">
        <v>#NUM!</v>
      </c>
      <c r="I108" s="157" t="e">
        <v>#NUM!</v>
      </c>
      <c r="J108" s="151"/>
    </row>
    <row r="109" spans="2:10" x14ac:dyDescent="0.25">
      <c r="B109" s="156" t="e">
        <v>#NUM!</v>
      </c>
      <c r="C109" s="152" t="e">
        <v>#NUM!</v>
      </c>
      <c r="D109" s="152" t="e">
        <v>#NUM!</v>
      </c>
      <c r="E109" s="152" t="e">
        <v>#NUM!</v>
      </c>
      <c r="F109" s="152" t="e">
        <v>#NUM!</v>
      </c>
      <c r="G109" s="152" t="e">
        <v>#NUM!</v>
      </c>
      <c r="H109" s="152" t="e">
        <v>#NUM!</v>
      </c>
      <c r="I109" s="157" t="e">
        <v>#NUM!</v>
      </c>
      <c r="J109" s="151"/>
    </row>
    <row r="110" spans="2:10" x14ac:dyDescent="0.25">
      <c r="B110" s="158" t="e">
        <v>#NUM!</v>
      </c>
      <c r="C110" s="159" t="e">
        <v>#NUM!</v>
      </c>
      <c r="D110" s="159" t="e">
        <v>#NUM!</v>
      </c>
      <c r="E110" s="159" t="e">
        <v>#NUM!</v>
      </c>
      <c r="F110" s="159" t="e">
        <v>#NUM!</v>
      </c>
      <c r="G110" s="159" t="e">
        <v>#NUM!</v>
      </c>
      <c r="H110" s="159" t="e">
        <v>#NUM!</v>
      </c>
      <c r="I110" s="160" t="e">
        <v>#NUM!</v>
      </c>
      <c r="J110" s="151"/>
    </row>
    <row r="111" spans="2:10" x14ac:dyDescent="0.25">
      <c r="B111" s="151"/>
      <c r="C111" s="151"/>
      <c r="D111" s="151"/>
      <c r="E111" s="151"/>
      <c r="F111" s="151"/>
      <c r="G111" s="151"/>
      <c r="H111" s="151"/>
      <c r="I111" s="151"/>
      <c r="J111" s="151"/>
    </row>
    <row r="112" spans="2:10" x14ac:dyDescent="0.25">
      <c r="B112" s="153" t="e">
        <f t="array" ref="B112:J120">MINVERSE(B34:J42)</f>
        <v>#NUM!</v>
      </c>
      <c r="C112" s="154" t="e">
        <v>#NUM!</v>
      </c>
      <c r="D112" s="154" t="e">
        <v>#NUM!</v>
      </c>
      <c r="E112" s="154" t="e">
        <v>#NUM!</v>
      </c>
      <c r="F112" s="154" t="e">
        <v>#NUM!</v>
      </c>
      <c r="G112" s="154" t="e">
        <v>#NUM!</v>
      </c>
      <c r="H112" s="154" t="e">
        <v>#NUM!</v>
      </c>
      <c r="I112" s="154" t="e">
        <v>#NUM!</v>
      </c>
      <c r="J112" s="155" t="e">
        <v>#NUM!</v>
      </c>
    </row>
    <row r="113" spans="2:10" x14ac:dyDescent="0.25">
      <c r="B113" s="156" t="e">
        <v>#NUM!</v>
      </c>
      <c r="C113" s="152" t="e">
        <v>#NUM!</v>
      </c>
      <c r="D113" s="152" t="e">
        <v>#NUM!</v>
      </c>
      <c r="E113" s="152" t="e">
        <v>#NUM!</v>
      </c>
      <c r="F113" s="152" t="e">
        <v>#NUM!</v>
      </c>
      <c r="G113" s="152" t="e">
        <v>#NUM!</v>
      </c>
      <c r="H113" s="152" t="e">
        <v>#NUM!</v>
      </c>
      <c r="I113" s="152" t="e">
        <v>#NUM!</v>
      </c>
      <c r="J113" s="157" t="e">
        <v>#NUM!</v>
      </c>
    </row>
    <row r="114" spans="2:10" x14ac:dyDescent="0.25">
      <c r="B114" s="156" t="e">
        <v>#NUM!</v>
      </c>
      <c r="C114" s="152" t="e">
        <v>#NUM!</v>
      </c>
      <c r="D114" s="152" t="e">
        <v>#NUM!</v>
      </c>
      <c r="E114" s="152" t="e">
        <v>#NUM!</v>
      </c>
      <c r="F114" s="152" t="e">
        <v>#NUM!</v>
      </c>
      <c r="G114" s="152" t="e">
        <v>#NUM!</v>
      </c>
      <c r="H114" s="152" t="e">
        <v>#NUM!</v>
      </c>
      <c r="I114" s="152" t="e">
        <v>#NUM!</v>
      </c>
      <c r="J114" s="157" t="e">
        <v>#NUM!</v>
      </c>
    </row>
    <row r="115" spans="2:10" x14ac:dyDescent="0.25">
      <c r="B115" s="156" t="e">
        <v>#NUM!</v>
      </c>
      <c r="C115" s="152" t="e">
        <v>#NUM!</v>
      </c>
      <c r="D115" s="152" t="e">
        <v>#NUM!</v>
      </c>
      <c r="E115" s="152" t="e">
        <v>#NUM!</v>
      </c>
      <c r="F115" s="152" t="e">
        <v>#NUM!</v>
      </c>
      <c r="G115" s="152" t="e">
        <v>#NUM!</v>
      </c>
      <c r="H115" s="152" t="e">
        <v>#NUM!</v>
      </c>
      <c r="I115" s="152" t="e">
        <v>#NUM!</v>
      </c>
      <c r="J115" s="157" t="e">
        <v>#NUM!</v>
      </c>
    </row>
    <row r="116" spans="2:10" x14ac:dyDescent="0.25">
      <c r="B116" s="156" t="e">
        <v>#NUM!</v>
      </c>
      <c r="C116" s="152" t="e">
        <v>#NUM!</v>
      </c>
      <c r="D116" s="152" t="e">
        <v>#NUM!</v>
      </c>
      <c r="E116" s="152" t="e">
        <v>#NUM!</v>
      </c>
      <c r="F116" s="152" t="e">
        <v>#NUM!</v>
      </c>
      <c r="G116" s="152" t="e">
        <v>#NUM!</v>
      </c>
      <c r="H116" s="152" t="e">
        <v>#NUM!</v>
      </c>
      <c r="I116" s="152" t="e">
        <v>#NUM!</v>
      </c>
      <c r="J116" s="157" t="e">
        <v>#NUM!</v>
      </c>
    </row>
    <row r="117" spans="2:10" x14ac:dyDescent="0.25">
      <c r="B117" s="156" t="e">
        <v>#NUM!</v>
      </c>
      <c r="C117" s="152" t="e">
        <v>#NUM!</v>
      </c>
      <c r="D117" s="152" t="e">
        <v>#NUM!</v>
      </c>
      <c r="E117" s="152" t="e">
        <v>#NUM!</v>
      </c>
      <c r="F117" s="152" t="e">
        <v>#NUM!</v>
      </c>
      <c r="G117" s="152" t="e">
        <v>#NUM!</v>
      </c>
      <c r="H117" s="152" t="e">
        <v>#NUM!</v>
      </c>
      <c r="I117" s="152" t="e">
        <v>#NUM!</v>
      </c>
      <c r="J117" s="157" t="e">
        <v>#NUM!</v>
      </c>
    </row>
    <row r="118" spans="2:10" x14ac:dyDescent="0.25">
      <c r="B118" s="156" t="e">
        <v>#NUM!</v>
      </c>
      <c r="C118" s="152" t="e">
        <v>#NUM!</v>
      </c>
      <c r="D118" s="152" t="e">
        <v>#NUM!</v>
      </c>
      <c r="E118" s="152" t="e">
        <v>#NUM!</v>
      </c>
      <c r="F118" s="152" t="e">
        <v>#NUM!</v>
      </c>
      <c r="G118" s="152" t="e">
        <v>#NUM!</v>
      </c>
      <c r="H118" s="152" t="e">
        <v>#NUM!</v>
      </c>
      <c r="I118" s="152" t="e">
        <v>#NUM!</v>
      </c>
      <c r="J118" s="157" t="e">
        <v>#NUM!</v>
      </c>
    </row>
    <row r="119" spans="2:10" x14ac:dyDescent="0.25">
      <c r="B119" s="156" t="e">
        <v>#NUM!</v>
      </c>
      <c r="C119" s="152" t="e">
        <v>#NUM!</v>
      </c>
      <c r="D119" s="152" t="e">
        <v>#NUM!</v>
      </c>
      <c r="E119" s="152" t="e">
        <v>#NUM!</v>
      </c>
      <c r="F119" s="152" t="e">
        <v>#NUM!</v>
      </c>
      <c r="G119" s="152" t="e">
        <v>#NUM!</v>
      </c>
      <c r="H119" s="152" t="e">
        <v>#NUM!</v>
      </c>
      <c r="I119" s="152" t="e">
        <v>#NUM!</v>
      </c>
      <c r="J119" s="157" t="e">
        <v>#NUM!</v>
      </c>
    </row>
    <row r="120" spans="2:10" x14ac:dyDescent="0.25">
      <c r="B120" s="158" t="e">
        <v>#NUM!</v>
      </c>
      <c r="C120" s="159" t="e">
        <v>#NUM!</v>
      </c>
      <c r="D120" s="159" t="e">
        <v>#NUM!</v>
      </c>
      <c r="E120" s="159" t="e">
        <v>#NUM!</v>
      </c>
      <c r="F120" s="159" t="e">
        <v>#NUM!</v>
      </c>
      <c r="G120" s="159" t="e">
        <v>#NUM!</v>
      </c>
      <c r="H120" s="159" t="e">
        <v>#NUM!</v>
      </c>
      <c r="I120" s="159" t="e">
        <v>#NUM!</v>
      </c>
      <c r="J120" s="160" t="e">
        <v>#NUM!</v>
      </c>
    </row>
  </sheetData>
  <sheetProtection formatCells="0" formatColumns="0"/>
  <mergeCells count="4">
    <mergeCell ref="Q32:R32"/>
    <mergeCell ref="B16:D16"/>
    <mergeCell ref="A1:E1"/>
    <mergeCell ref="D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194"/>
  <sheetViews>
    <sheetView topLeftCell="A114" zoomScaleNormal="100" workbookViewId="0">
      <selection activeCell="K158" sqref="K158"/>
    </sheetView>
  </sheetViews>
  <sheetFormatPr defaultRowHeight="15" x14ac:dyDescent="0.25"/>
  <cols>
    <col min="1" max="2" width="11.7109375" customWidth="1"/>
    <col min="3" max="3" width="10.5703125" customWidth="1"/>
    <col min="4" max="4" width="10" customWidth="1"/>
    <col min="5" max="5" width="10.7109375" customWidth="1"/>
    <col min="6" max="6" width="10.28515625" customWidth="1"/>
    <col min="7" max="8" width="10.42578125" customWidth="1"/>
    <col min="9" max="9" width="9.140625" customWidth="1"/>
    <col min="10" max="10" width="8.5703125" customWidth="1"/>
    <col min="11" max="12" width="9.140625" style="7" customWidth="1"/>
    <col min="13" max="13" width="9.140625" customWidth="1"/>
    <col min="14" max="14" width="11.7109375" customWidth="1"/>
    <col min="15" max="15" width="9.140625" customWidth="1"/>
    <col min="16" max="17" width="10.28515625" customWidth="1"/>
    <col min="18" max="18" width="10.85546875" customWidth="1"/>
    <col min="19" max="19" width="10" customWidth="1"/>
    <col min="20" max="20" width="13.5703125" customWidth="1"/>
    <col min="21" max="21" width="10.140625" customWidth="1"/>
    <col min="22" max="23" width="9.28515625" customWidth="1"/>
    <col min="24" max="25" width="9.28515625" bestFit="1" customWidth="1"/>
  </cols>
  <sheetData>
    <row r="1" spans="1:18" ht="18.75" x14ac:dyDescent="0.3">
      <c r="A1" s="1" t="s">
        <v>264</v>
      </c>
      <c r="C1" s="11"/>
      <c r="D1" s="8"/>
      <c r="E1" s="8"/>
      <c r="H1" s="39" t="s">
        <v>56</v>
      </c>
      <c r="I1" s="39">
        <f>IF(IndrctAdj!K52=1,1,IF(IndrctAdj!K52="Y",1,0))</f>
        <v>0</v>
      </c>
      <c r="K1"/>
      <c r="L1"/>
      <c r="M1" s="7"/>
      <c r="N1" s="7"/>
      <c r="O1" s="118" t="s">
        <v>26</v>
      </c>
      <c r="Q1" s="117"/>
      <c r="R1" s="117"/>
    </row>
    <row r="2" spans="1:18" x14ac:dyDescent="0.25">
      <c r="A2" s="10" t="s">
        <v>293</v>
      </c>
      <c r="B2" s="28">
        <f>16-COUNTBLANK(A5:A20)</f>
        <v>7</v>
      </c>
      <c r="C2" s="20" t="s">
        <v>266</v>
      </c>
      <c r="D2" s="28">
        <f>16-COUNTBLANK(D5:D20)</f>
        <v>7</v>
      </c>
      <c r="E2" s="8"/>
      <c r="K2"/>
      <c r="L2"/>
      <c r="M2" s="7"/>
      <c r="N2" s="7"/>
      <c r="O2" s="7"/>
      <c r="P2" s="83">
        <f>SUM(P5:P20)</f>
        <v>1.6197531328253537E-2</v>
      </c>
      <c r="Q2" s="80"/>
      <c r="R2" s="84">
        <f>SUM(R5:R20)</f>
        <v>1.8860517797473424E-2</v>
      </c>
    </row>
    <row r="3" spans="1:18" x14ac:dyDescent="0.25">
      <c r="A3" s="10" t="s">
        <v>294</v>
      </c>
      <c r="B3" s="790">
        <f>16-COUNTBLANK(B5:B20)</f>
        <v>7</v>
      </c>
      <c r="H3" s="959" t="s">
        <v>59</v>
      </c>
      <c r="I3" s="959"/>
      <c r="J3" s="959"/>
      <c r="K3" s="959"/>
      <c r="L3"/>
      <c r="M3" s="7" t="s">
        <v>29</v>
      </c>
      <c r="N3" s="7" t="s">
        <v>30</v>
      </c>
      <c r="O3" s="959" t="s">
        <v>60</v>
      </c>
      <c r="P3" s="959"/>
      <c r="Q3" s="959"/>
      <c r="R3" s="959"/>
    </row>
    <row r="4" spans="1:18" x14ac:dyDescent="0.25">
      <c r="A4" s="7" t="s">
        <v>21</v>
      </c>
      <c r="B4" s="7" t="s">
        <v>22</v>
      </c>
      <c r="C4" s="7" t="s">
        <v>41</v>
      </c>
      <c r="D4" s="7" t="s">
        <v>42</v>
      </c>
      <c r="F4" s="7" t="s">
        <v>23</v>
      </c>
      <c r="G4" s="7" t="s">
        <v>24</v>
      </c>
      <c r="H4" s="26" t="s">
        <v>43</v>
      </c>
      <c r="I4" s="119" t="s">
        <v>25</v>
      </c>
      <c r="J4" s="119" t="s">
        <v>43</v>
      </c>
      <c r="K4" s="27" t="s">
        <v>25</v>
      </c>
      <c r="L4"/>
      <c r="M4" s="7" t="s">
        <v>27</v>
      </c>
      <c r="N4" s="7" t="s">
        <v>28</v>
      </c>
      <c r="O4" s="26" t="s">
        <v>43</v>
      </c>
      <c r="P4" s="119" t="s">
        <v>25</v>
      </c>
      <c r="Q4" s="119" t="s">
        <v>43</v>
      </c>
      <c r="R4" s="27" t="s">
        <v>25</v>
      </c>
    </row>
    <row r="5" spans="1:18" x14ac:dyDescent="0.25">
      <c r="A5" s="13">
        <f>IF(IndrctAdj!E32="","",IndrctAdj!E32)</f>
        <v>1</v>
      </c>
      <c r="B5" s="13">
        <f>IF(IndrctAdj!C32="","",IndrctAdj!C32)</f>
        <v>1</v>
      </c>
      <c r="C5" s="61">
        <v>1</v>
      </c>
      <c r="D5" s="13">
        <f>IF(IndrctAdj!D8="","",IndrctAdj!D8)</f>
        <v>0</v>
      </c>
      <c r="E5" s="19">
        <v>1</v>
      </c>
      <c r="F5" s="16">
        <f t="shared" ref="F5:F12" si="0">IF(A5="","",LN(A5))</f>
        <v>0</v>
      </c>
      <c r="G5" s="31">
        <f t="shared" ref="G5:G12" si="1">IF(B5="","",LN(B5))</f>
        <v>0</v>
      </c>
      <c r="H5" s="29" t="str">
        <f>IF($B$2=E5,INTERCEPT($F$5:F5,$D$5:D5)*$I$1,"")</f>
        <v/>
      </c>
      <c r="I5" s="30" t="str">
        <f>IF($B$2=E5,LINEST($F$5:F5,$D$5:D5,$I$1),"")</f>
        <v/>
      </c>
      <c r="J5" s="30" t="str">
        <f>IF($B$2=E5,INTERCEPT($G$5:G5,$D$5:D5)*$I$1,"")</f>
        <v/>
      </c>
      <c r="K5" s="31" t="str">
        <f>IF($B$2=E5,LINEST($G$5:G5,$D$5:D5,$I$1),"")</f>
        <v/>
      </c>
      <c r="L5"/>
      <c r="M5" s="16">
        <f t="shared" ref="M5:M14" si="2">IF(A5="","",A5-1)</f>
        <v>0</v>
      </c>
      <c r="N5" s="16">
        <f t="shared" ref="N5:N14" si="3">IF(B5="","",B5-1)</f>
        <v>0</v>
      </c>
      <c r="O5" s="29"/>
      <c r="P5" s="170"/>
      <c r="Q5" s="170"/>
      <c r="R5" s="169"/>
    </row>
    <row r="6" spans="1:18" x14ac:dyDescent="0.25">
      <c r="A6" s="14">
        <f>IF(IndrctAdj!E33="","",IndrctAdj!E33)</f>
        <v>1.2487883933412958</v>
      </c>
      <c r="B6" s="14">
        <f>IF(IndrctAdj!C33="","",IndrctAdj!C33)</f>
        <v>1.26</v>
      </c>
      <c r="C6" s="61">
        <v>1</v>
      </c>
      <c r="D6" s="14">
        <f>IF(IndrctAdj!D9="","",IndrctAdj!D9)</f>
        <v>6.6524299999999998</v>
      </c>
      <c r="E6" s="19">
        <v>2</v>
      </c>
      <c r="F6" s="17">
        <f t="shared" si="0"/>
        <v>0.22217379592645059</v>
      </c>
      <c r="G6" s="34">
        <f t="shared" si="1"/>
        <v>0.23111172096338664</v>
      </c>
      <c r="H6" s="32" t="str">
        <f>IF($B$2=E6,INTERCEPT($F$5:F6,$D$5:D6)*$I$1,"")</f>
        <v/>
      </c>
      <c r="I6" s="33" t="str">
        <f>IF($B$2=E6,LINEST($F$5:F6,$D$5:D6,$I$1),"")</f>
        <v/>
      </c>
      <c r="J6" s="33" t="str">
        <f>IF($B$2=E6,INTERCEPT($G$5:G6,$D$5:D6)*$I$1,"")</f>
        <v/>
      </c>
      <c r="K6" s="34" t="str">
        <f>IF($B$2=E6,LINEST($G$5:G6,$D$5:D6,$I$1),"")</f>
        <v/>
      </c>
      <c r="L6"/>
      <c r="M6" s="17">
        <f t="shared" si="2"/>
        <v>0.24878839334129577</v>
      </c>
      <c r="N6" s="17">
        <f t="shared" si="3"/>
        <v>0.26</v>
      </c>
      <c r="O6" s="32" t="str">
        <f>IF($B$2=E6,INTERCEPT($M$5:M6,$D$5:D6)*$I$1,"")</f>
        <v/>
      </c>
      <c r="P6" s="33" t="str">
        <f>IF($B$2=E6,LINEST($M$5:M6,$D$5:D6,$I$1),"")</f>
        <v/>
      </c>
      <c r="Q6" s="33" t="str">
        <f>IF($B$2=E6,INTERCEPT($N$5:N6,$D$5:D6)*$I$1,"")</f>
        <v/>
      </c>
      <c r="R6" s="34" t="str">
        <f>IF($B$2=E6,LINEST($N$5:N6,$D$5:D6,$I$1),"")</f>
        <v/>
      </c>
    </row>
    <row r="7" spans="1:18" x14ac:dyDescent="0.25">
      <c r="A7" s="14">
        <f>IF(IndrctAdj!E34="","",IndrctAdj!E34)</f>
        <v>1.4820978151502622</v>
      </c>
      <c r="B7" s="14">
        <f>IF(IndrctAdj!C34="","",IndrctAdj!C34)</f>
        <v>1.59</v>
      </c>
      <c r="C7" s="61">
        <v>1</v>
      </c>
      <c r="D7" s="14">
        <f>IF(IndrctAdj!D10="","",IndrctAdj!D10)</f>
        <v>23.531600000000001</v>
      </c>
      <c r="E7" s="19">
        <v>3</v>
      </c>
      <c r="F7" s="17">
        <f t="shared" si="0"/>
        <v>0.39345852682153365</v>
      </c>
      <c r="G7" s="34">
        <f t="shared" si="1"/>
        <v>0.46373401623214022</v>
      </c>
      <c r="H7" s="32" t="str">
        <f>IF($B$2=E7,INTERCEPT($F$5:F7,$D$5:D7)*$I$1,"")</f>
        <v/>
      </c>
      <c r="I7" s="33" t="str">
        <f>IF($B$2=E7,LINEST($F$5:F7,$D$5:D7,$I$1),"")</f>
        <v/>
      </c>
      <c r="J7" s="33" t="str">
        <f>IF($B$2=E7,INTERCEPT($G$5:G7,$D$5:D7)*$I$1,"")</f>
        <v/>
      </c>
      <c r="K7" s="34" t="str">
        <f>IF($B$2=E7,LINEST($G$5:G7,$D$5:D7,$I$1),"")</f>
        <v/>
      </c>
      <c r="L7"/>
      <c r="M7" s="17">
        <f t="shared" si="2"/>
        <v>0.48209781515026218</v>
      </c>
      <c r="N7" s="17">
        <f t="shared" si="3"/>
        <v>0.59000000000000008</v>
      </c>
      <c r="O7" s="32" t="str">
        <f>IF($B$2=E7,INTERCEPT($M$5:M7,$D$5:D7)*$I$1,"")</f>
        <v/>
      </c>
      <c r="P7" s="33" t="str">
        <f>IF($B$2=E7,LINEST($M$5:M7,$D$5:D7,$I$1),"")</f>
        <v/>
      </c>
      <c r="Q7" s="33" t="str">
        <f>IF($B$2=E7,INTERCEPT($N$5:N7,$D$5:D7)*$I$1,"")</f>
        <v/>
      </c>
      <c r="R7" s="34" t="str">
        <f>IF($B$2=E7,LINEST($N$5:N7,$D$5:D7,$I$1),"")</f>
        <v/>
      </c>
    </row>
    <row r="8" spans="1:18" x14ac:dyDescent="0.25">
      <c r="A8" s="14">
        <f>IF(IndrctAdj!E35="","",IndrctAdj!E35)</f>
        <v>1.5734470077672871</v>
      </c>
      <c r="B8" s="14">
        <f>IF(IndrctAdj!C35="","",IndrctAdj!C35)</f>
        <v>1.67</v>
      </c>
      <c r="C8" s="61">
        <v>1</v>
      </c>
      <c r="D8" s="14">
        <f>IF(IndrctAdj!D11="","",IndrctAdj!D11)</f>
        <v>33.539400000000001</v>
      </c>
      <c r="E8" s="19">
        <v>4</v>
      </c>
      <c r="F8" s="17">
        <f t="shared" si="0"/>
        <v>0.45326875901894509</v>
      </c>
      <c r="G8" s="34">
        <f t="shared" si="1"/>
        <v>0.51282362642866375</v>
      </c>
      <c r="H8" s="32" t="str">
        <f>IF($B$2=E8,INTERCEPT($F$5:F8,$D$5:D8)*$I$1,"")</f>
        <v/>
      </c>
      <c r="I8" s="33" t="str">
        <f>IF($B$2=E8,LINEST($F$5:F8,$D$5:D8,$I$1),"")</f>
        <v/>
      </c>
      <c r="J8" s="33" t="str">
        <f>IF($B$2=E8,INTERCEPT($G$5:G8,$D$5:D8)*$I$1,"")</f>
        <v/>
      </c>
      <c r="K8" s="34" t="str">
        <f>IF($B$2=E8,LINEST($G$5:G8,$D$5:D8,$I$1),"")</f>
        <v/>
      </c>
      <c r="L8"/>
      <c r="M8" s="17">
        <f t="shared" si="2"/>
        <v>0.57344700776728708</v>
      </c>
      <c r="N8" s="17">
        <f t="shared" si="3"/>
        <v>0.66999999999999993</v>
      </c>
      <c r="O8" s="32" t="str">
        <f>IF($B$2=E8,INTERCEPT($M$5:M8,$D$5:D8)*$I$1,"")</f>
        <v/>
      </c>
      <c r="P8" s="33" t="str">
        <f>IF($B$2=E8,LINEST($M$5:M8,$D$5:D8,$I$1),"")</f>
        <v/>
      </c>
      <c r="Q8" s="33" t="str">
        <f>IF($B$2=E8,INTERCEPT($N$5:N8,$D$5:D8)*$I$1,"")</f>
        <v/>
      </c>
      <c r="R8" s="34" t="str">
        <f>IF($B$2=E8,LINEST($N$5:N8,$D$5:D8,$I$1),"")</f>
        <v/>
      </c>
    </row>
    <row r="9" spans="1:18" x14ac:dyDescent="0.25">
      <c r="A9" s="14">
        <f>IF(IndrctAdj!E36="","",IndrctAdj!E36)</f>
        <v>1.8290780124877151</v>
      </c>
      <c r="B9" s="14">
        <f>IF(IndrctAdj!C36="","",IndrctAdj!C36)</f>
        <v>1.98</v>
      </c>
      <c r="C9" s="61">
        <v>1</v>
      </c>
      <c r="D9" s="14">
        <f>IF(IndrctAdj!D12="","",IndrctAdj!D12)</f>
        <v>43.674599999999998</v>
      </c>
      <c r="E9" s="19">
        <v>5</v>
      </c>
      <c r="F9" s="17">
        <f t="shared" si="0"/>
        <v>0.60381202158151481</v>
      </c>
      <c r="G9" s="34">
        <f t="shared" si="1"/>
        <v>0.68309684470644383</v>
      </c>
      <c r="H9" s="32" t="str">
        <f>IF($B$2=E9,INTERCEPT($F$5:F9,$D$5:D9)*$I$1,"")</f>
        <v/>
      </c>
      <c r="I9" s="33" t="str">
        <f>IF($B$2=E9,LINEST($F$5:F9,$D$5:D9,$I$1),"")</f>
        <v/>
      </c>
      <c r="J9" s="33" t="str">
        <f>IF($B$2=E9,INTERCEPT($G$5:G9,$D$5:D9)*$I$1,"")</f>
        <v/>
      </c>
      <c r="K9" s="34" t="str">
        <f>IF($B$2=E9,LINEST($G$5:G9,$D$5:D9,$I$1),"")</f>
        <v/>
      </c>
      <c r="L9"/>
      <c r="M9" s="17">
        <f t="shared" si="2"/>
        <v>0.82907801248771507</v>
      </c>
      <c r="N9" s="17">
        <f t="shared" si="3"/>
        <v>0.98</v>
      </c>
      <c r="O9" s="32" t="str">
        <f>IF($B$2=E9,INTERCEPT($M$5:M9,$D$5:D9)*$I$1,"")</f>
        <v/>
      </c>
      <c r="P9" s="33" t="str">
        <f>IF($B$2=E9,LINEST($M$5:M9,$D$5:D9,$I$1),"")</f>
        <v/>
      </c>
      <c r="Q9" s="33" t="str">
        <f>IF($B$2=E9,INTERCEPT($N$5:N9,$D$5:D9)*$I$1,"")</f>
        <v/>
      </c>
      <c r="R9" s="34" t="str">
        <f>IF($B$2=E9,LINEST($N$5:N9,$D$5:D9,$I$1),"")</f>
        <v/>
      </c>
    </row>
    <row r="10" spans="1:18" x14ac:dyDescent="0.25">
      <c r="A10" s="14">
        <f>IF(IndrctAdj!E37="","",IndrctAdj!E37)</f>
        <v>2.0256068332127941</v>
      </c>
      <c r="B10" s="14">
        <f>IF(IndrctAdj!C37="","",IndrctAdj!C37)</f>
        <v>2.1800000000000002</v>
      </c>
      <c r="C10" s="61">
        <v>1</v>
      </c>
      <c r="D10" s="14">
        <f>IF(IndrctAdj!D13="","",IndrctAdj!D13)</f>
        <v>53.618000000000002</v>
      </c>
      <c r="E10" s="19">
        <v>6</v>
      </c>
      <c r="F10" s="17">
        <f t="shared" si="0"/>
        <v>0.70586932638856736</v>
      </c>
      <c r="G10" s="34">
        <f t="shared" si="1"/>
        <v>0.77932487680099771</v>
      </c>
      <c r="H10" s="32" t="str">
        <f>IF($B$2=E10,INTERCEPT($F$5:F10,$D$5:D10)*$I$1,"")</f>
        <v/>
      </c>
      <c r="I10" s="33" t="str">
        <f>IF($B$2=E10,LINEST($F$5:F10,$D$5:D10,$I$1),"")</f>
        <v/>
      </c>
      <c r="J10" s="33" t="str">
        <f>IF($B$2=E10,INTERCEPT($G$5:G10,$D$5:D10)*$I$1,"")</f>
        <v/>
      </c>
      <c r="K10" s="34" t="str">
        <f>IF($B$2=E10,LINEST($G$5:G10,$D$5:D10,$I$1),"")</f>
        <v/>
      </c>
      <c r="L10"/>
      <c r="M10" s="17">
        <f t="shared" si="2"/>
        <v>1.0256068332127941</v>
      </c>
      <c r="N10" s="17">
        <f t="shared" si="3"/>
        <v>1.1800000000000002</v>
      </c>
      <c r="O10" s="32" t="str">
        <f>IF($B$2=E10,INTERCEPT($M$5:M10,$D$5:D10)*$I$1,"")</f>
        <v/>
      </c>
      <c r="P10" s="33" t="str">
        <f>IF($B$2=E10,LINEST($M$5:M10,$D$5:D10,$I$1),"")</f>
        <v/>
      </c>
      <c r="Q10" s="33" t="str">
        <f>IF($B$2=E10,INTERCEPT($N$5:N10,$D$5:D10)*$I$1,"")</f>
        <v/>
      </c>
      <c r="R10" s="34" t="str">
        <f>IF($B$2=E10,LINEST($N$5:N10,$D$5:D10,$I$1),"")</f>
        <v/>
      </c>
    </row>
    <row r="11" spans="1:18" x14ac:dyDescent="0.25">
      <c r="A11" s="14">
        <f>IF(IndrctAdj!E38="","",IndrctAdj!E38)</f>
        <v>2.0866454800167236</v>
      </c>
      <c r="B11" s="14">
        <f>IF(IndrctAdj!C38="","",IndrctAdj!C38)</f>
        <v>2.2599999999999998</v>
      </c>
      <c r="C11" s="61">
        <v>1</v>
      </c>
      <c r="D11" s="14">
        <f>IF(IndrctAdj!D14="","",IndrctAdj!D14)</f>
        <v>80.8767</v>
      </c>
      <c r="E11" s="19">
        <v>7</v>
      </c>
      <c r="F11" s="17">
        <f t="shared" si="0"/>
        <v>0.73555774304573385</v>
      </c>
      <c r="G11" s="34">
        <f t="shared" si="1"/>
        <v>0.81536481328419441</v>
      </c>
      <c r="H11" s="32">
        <f>IF($B$2=E11,INTERCEPT($F$5:F11,$D$5:D11)*$I$1,"")</f>
        <v>0</v>
      </c>
      <c r="I11" s="33">
        <f>IF($B$2=E11,LINEST($F$5:F11,$D$5:D11,$I$1),"")</f>
        <v>1.1470477280392896E-2</v>
      </c>
      <c r="J11" s="33">
        <f>IF($B$2=E11,INTERCEPT($G$5:G11,$D$5:D11)*$I$1,"")</f>
        <v>0</v>
      </c>
      <c r="K11" s="34">
        <f>IF($B$2=E11,LINEST($G$5:G11,$D$5:D11,$I$1),"")</f>
        <v>1.28169445056812E-2</v>
      </c>
      <c r="L11"/>
      <c r="M11" s="17">
        <f t="shared" si="2"/>
        <v>1.0866454800167236</v>
      </c>
      <c r="N11" s="17">
        <f t="shared" si="3"/>
        <v>1.2599999999999998</v>
      </c>
      <c r="O11" s="32">
        <f>IF($B$2=E11,INTERCEPT($M$5:M11,$D$5:D11)*$I$1,"")</f>
        <v>0</v>
      </c>
      <c r="P11" s="33">
        <f>IF($B$2=E11,LINEST($M$5:M11,$D$5:D11,$I$1),"")</f>
        <v>1.6197531328253537E-2</v>
      </c>
      <c r="Q11" s="33">
        <f>IF($B$2=E11,INTERCEPT($N$5:N11,$D$5:D11)*$I$1,"")</f>
        <v>0</v>
      </c>
      <c r="R11" s="34">
        <f>IF($B$2=E11,LINEST($N$5:N11,$D$5:D11,$I$1),"")</f>
        <v>1.8860517797473424E-2</v>
      </c>
    </row>
    <row r="12" spans="1:18" x14ac:dyDescent="0.25">
      <c r="A12" s="14" t="str">
        <f>IF(IndrctAdj!E39="","",IndrctAdj!E39)</f>
        <v/>
      </c>
      <c r="B12" s="14" t="str">
        <f>IF(IndrctAdj!C39="","",IndrctAdj!C39)</f>
        <v/>
      </c>
      <c r="C12" s="61">
        <v>1</v>
      </c>
      <c r="D12" s="14" t="str">
        <f>IF(IndrctAdj!D15="","",IndrctAdj!D15)</f>
        <v/>
      </c>
      <c r="E12" s="19">
        <v>8</v>
      </c>
      <c r="F12" s="17" t="str">
        <f t="shared" si="0"/>
        <v/>
      </c>
      <c r="G12" s="34" t="str">
        <f t="shared" si="1"/>
        <v/>
      </c>
      <c r="H12" s="32" t="str">
        <f>IF($B$2=E12,INTERCEPT($F$5:F12,$D$5:D12)*$I$1,"")</f>
        <v/>
      </c>
      <c r="I12" s="33" t="str">
        <f>IF($B$2=E12,LINEST($F$5:F12,$D$5:D12,$I$1),"")</f>
        <v/>
      </c>
      <c r="J12" s="33" t="str">
        <f>IF($B$2=E12,INTERCEPT($G$5:G12,$D$5:D12)*$I$1,"")</f>
        <v/>
      </c>
      <c r="K12" s="34" t="str">
        <f>IF($B$2=E12,LINEST($G$5:G12,$D$5:D12,$I$1),"")</f>
        <v/>
      </c>
      <c r="L12"/>
      <c r="M12" s="17" t="str">
        <f t="shared" si="2"/>
        <v/>
      </c>
      <c r="N12" s="17" t="str">
        <f t="shared" si="3"/>
        <v/>
      </c>
      <c r="O12" s="32" t="str">
        <f>IF($B$2=E12,INTERCEPT($M$5:M12,$D$5:D12)*$I$1,"")</f>
        <v/>
      </c>
      <c r="P12" s="33" t="str">
        <f>IF($B$2=E12,LINEST($M$5:M12,$D$5:D12,$I$1),"")</f>
        <v/>
      </c>
      <c r="Q12" s="33" t="str">
        <f>IF($B$2=E12,INTERCEPT($N$5:N12,$D$5:D12)*$I$1,"")</f>
        <v/>
      </c>
      <c r="R12" s="34" t="str">
        <f>IF($B$2=E12,LINEST($N$5:N12,$D$5:D12,$I$1),"")</f>
        <v/>
      </c>
    </row>
    <row r="13" spans="1:18" x14ac:dyDescent="0.25">
      <c r="A13" s="14" t="str">
        <f>IF(IndrctAdj!E40="","",IndrctAdj!E40)</f>
        <v/>
      </c>
      <c r="B13" s="14" t="str">
        <f>IF(IndrctAdj!C40="","",IndrctAdj!C40)</f>
        <v/>
      </c>
      <c r="C13" s="61">
        <v>1</v>
      </c>
      <c r="D13" s="14" t="str">
        <f>IF(IndrctAdj!D16="","",IndrctAdj!D16)</f>
        <v/>
      </c>
      <c r="E13" s="19">
        <v>9</v>
      </c>
      <c r="F13" s="17" t="str">
        <f t="shared" ref="F13:F19" si="4">IF(A13="","",LN(A13))</f>
        <v/>
      </c>
      <c r="G13" s="34" t="str">
        <f t="shared" ref="G13:G19" si="5">IF(B13="","",LN(B13))</f>
        <v/>
      </c>
      <c r="H13" s="32" t="str">
        <f>IF($B$2=E13,INTERCEPT($F$5:F13,$D$5:D13)*$I$1,"")</f>
        <v/>
      </c>
      <c r="I13" s="33" t="str">
        <f>IF($B$2=E13,LINEST($F$5:F13,$D$5:D13,$I$1),"")</f>
        <v/>
      </c>
      <c r="J13" s="33" t="str">
        <f>IF($B$2=E13,INTERCEPT($G$5:G13,$D$5:D13)*$I$1,"")</f>
        <v/>
      </c>
      <c r="K13" s="34" t="str">
        <f>IF($B$2=E13,LINEST($G$5:G13,$D$5:D13,$I$1),"")</f>
        <v/>
      </c>
      <c r="L13"/>
      <c r="M13" s="17" t="str">
        <f t="shared" si="2"/>
        <v/>
      </c>
      <c r="N13" s="17" t="str">
        <f t="shared" si="3"/>
        <v/>
      </c>
      <c r="O13" s="32" t="str">
        <f>IF($B$2=E13,INTERCEPT($M$5:M13,$D$5:D13)*$I$1,"")</f>
        <v/>
      </c>
      <c r="P13" s="33" t="str">
        <f>IF($B$2=E13,LINEST($M$5:M13,$D$5:D13,$I$1),"")</f>
        <v/>
      </c>
      <c r="Q13" s="33" t="str">
        <f>IF($B$2=E13,INTERCEPT($N$5:N13,$D$5:D13)*$I$1,"")</f>
        <v/>
      </c>
      <c r="R13" s="34" t="str">
        <f>IF($B$2=E13,LINEST($N$5:N13,$D$5:D13,$I$1),"")</f>
        <v/>
      </c>
    </row>
    <row r="14" spans="1:18" x14ac:dyDescent="0.25">
      <c r="A14" s="14" t="str">
        <f>IF(IndrctAdj!E41="","",IndrctAdj!E41)</f>
        <v/>
      </c>
      <c r="B14" s="14" t="str">
        <f>IF(IndrctAdj!C41="","",IndrctAdj!C41)</f>
        <v/>
      </c>
      <c r="C14" s="61">
        <v>1</v>
      </c>
      <c r="D14" s="14" t="str">
        <f>IF(IndrctAdj!D17="","",IndrctAdj!D17)</f>
        <v/>
      </c>
      <c r="E14" s="19">
        <v>10</v>
      </c>
      <c r="F14" s="17" t="str">
        <f t="shared" si="4"/>
        <v/>
      </c>
      <c r="G14" s="34" t="str">
        <f t="shared" si="5"/>
        <v/>
      </c>
      <c r="H14" s="32" t="str">
        <f>IF($B$2=E14,INTERCEPT($F$5:F14,$D$5:D14)*$I$1,"")</f>
        <v/>
      </c>
      <c r="I14" s="33" t="str">
        <f>IF($B$2=E14,LINEST($F$5:F14,$D$5:D14,$I$1),"")</f>
        <v/>
      </c>
      <c r="J14" s="33" t="str">
        <f>IF($B$2=E14,INTERCEPT($G$5:G14,$D$5:D14)*$I$1,"")</f>
        <v/>
      </c>
      <c r="K14" s="34" t="str">
        <f>IF($B$2=E14,LINEST($G$5:G14,$D$5:D14,$I$1),"")</f>
        <v/>
      </c>
      <c r="L14"/>
      <c r="M14" s="17" t="str">
        <f t="shared" si="2"/>
        <v/>
      </c>
      <c r="N14" s="17" t="str">
        <f t="shared" si="3"/>
        <v/>
      </c>
      <c r="O14" s="32" t="str">
        <f>IF($B$2=E14,INTERCEPT($M$5:M14,$D$5:D14)*$I$1,"")</f>
        <v/>
      </c>
      <c r="P14" s="33" t="str">
        <f>IF($B$2=E14,LINEST($M$5:M14,$D$5:D14,$I$1),"")</f>
        <v/>
      </c>
      <c r="Q14" s="33" t="str">
        <f>IF($B$2=E14,INTERCEPT($N$5:N14,$D$5:D14)*$I$1,"")</f>
        <v/>
      </c>
      <c r="R14" s="34" t="str">
        <f>IF($B$2=E14,LINEST($N$5:N14,$D$5:D14,$I$1),"")</f>
        <v/>
      </c>
    </row>
    <row r="15" spans="1:18" x14ac:dyDescent="0.25">
      <c r="A15" s="14" t="str">
        <f>IF(IndrctAdj!E42="","",IndrctAdj!E42)</f>
        <v/>
      </c>
      <c r="B15" s="14" t="str">
        <f>IF(IndrctAdj!C42="","",IndrctAdj!C42)</f>
        <v/>
      </c>
      <c r="C15" s="61">
        <v>1</v>
      </c>
      <c r="D15" s="14" t="str">
        <f>IF(IndrctAdj!D18="","",IndrctAdj!D18)</f>
        <v/>
      </c>
      <c r="E15" s="19">
        <v>11</v>
      </c>
      <c r="F15" s="17" t="str">
        <f t="shared" si="4"/>
        <v/>
      </c>
      <c r="G15" s="34" t="str">
        <f t="shared" si="5"/>
        <v/>
      </c>
      <c r="H15" s="32" t="str">
        <f>IF($B$2=E15,INTERCEPT($F$5:F15,$D$5:D15)*$I$1,"")</f>
        <v/>
      </c>
      <c r="I15" s="33" t="str">
        <f>IF($B$2=E15,LINEST($F$5:F15,$D$5:D15,$I$1),"")</f>
        <v/>
      </c>
      <c r="J15" s="33" t="str">
        <f>IF($B$2=E15,INTERCEPT($G$5:G15,$D$5:D15)*$I$1,"")</f>
        <v/>
      </c>
      <c r="K15" s="34" t="str">
        <f>IF($B$2=E15,LINEST($G$5:G15,$D$5:D15,$I$1),"")</f>
        <v/>
      </c>
      <c r="L15"/>
      <c r="M15" s="17" t="str">
        <f t="shared" ref="M15:M19" si="6">IF(A15="","",A15-1)</f>
        <v/>
      </c>
      <c r="N15" s="17" t="str">
        <f t="shared" ref="N15:N19" si="7">IF(B15="","",B15-1)</f>
        <v/>
      </c>
      <c r="O15" s="32" t="str">
        <f>IF($B$2=E15,INTERCEPT($M$5:M15,$D$5:D15)*$I$1,"")</f>
        <v/>
      </c>
      <c r="P15" s="33" t="str">
        <f>IF($B$2=E15,LINEST($M$5:M15,$D$5:D15,$I$1),"")</f>
        <v/>
      </c>
      <c r="Q15" s="33" t="str">
        <f>IF($B$2=E15,INTERCEPT($N$5:N15,$D$5:D15)*$I$1,"")</f>
        <v/>
      </c>
      <c r="R15" s="34" t="str">
        <f>IF($B$2=E15,LINEST($N$5:N15,$D$5:D15,$I$1),"")</f>
        <v/>
      </c>
    </row>
    <row r="16" spans="1:18" x14ac:dyDescent="0.25">
      <c r="A16" s="14" t="str">
        <f>IF(IndrctAdj!E43="","",IndrctAdj!E43)</f>
        <v/>
      </c>
      <c r="B16" s="14" t="str">
        <f>IF(IndrctAdj!C43="","",IndrctAdj!C43)</f>
        <v/>
      </c>
      <c r="C16" s="61">
        <v>1</v>
      </c>
      <c r="D16" s="14" t="str">
        <f>IF(IndrctAdj!D19="","",IndrctAdj!D19)</f>
        <v/>
      </c>
      <c r="E16" s="19">
        <v>12</v>
      </c>
      <c r="F16" s="17" t="str">
        <f t="shared" si="4"/>
        <v/>
      </c>
      <c r="G16" s="34" t="str">
        <f t="shared" si="5"/>
        <v/>
      </c>
      <c r="H16" s="32" t="str">
        <f>IF($B$2=E16,INTERCEPT($F$5:F16,$D$5:D16)*$I$1,"")</f>
        <v/>
      </c>
      <c r="I16" s="33" t="str">
        <f>IF($B$2=E16,LINEST($F$5:F16,$D$5:D16,$I$1),"")</f>
        <v/>
      </c>
      <c r="J16" s="33" t="str">
        <f>IF($B$2=E16,INTERCEPT($G$5:G16,$D$5:D16)*$I$1,"")</f>
        <v/>
      </c>
      <c r="K16" s="34" t="str">
        <f>IF($B$2=E16,LINEST($G$5:G16,$D$5:D16,$I$1),"")</f>
        <v/>
      </c>
      <c r="L16"/>
      <c r="M16" s="17" t="str">
        <f t="shared" si="6"/>
        <v/>
      </c>
      <c r="N16" s="17" t="str">
        <f t="shared" si="7"/>
        <v/>
      </c>
      <c r="O16" s="32" t="str">
        <f>IF($B$2=E16,INTERCEPT($M$5:M16,$D$5:D16)*$I$1,"")</f>
        <v/>
      </c>
      <c r="P16" s="33" t="str">
        <f>IF($B$2=E16,LINEST($M$5:M16,$D$5:D16,$I$1),"")</f>
        <v/>
      </c>
      <c r="Q16" s="33" t="str">
        <f>IF($B$2=E16,INTERCEPT($N$5:N16,$D$5:D16)*$I$1,"")</f>
        <v/>
      </c>
      <c r="R16" s="34" t="str">
        <f>IF($B$2=E16,LINEST($N$5:N16,$D$5:D16,$I$1),"")</f>
        <v/>
      </c>
    </row>
    <row r="17" spans="1:18" x14ac:dyDescent="0.25">
      <c r="A17" s="14" t="str">
        <f>IF(IndrctAdj!E44="","",IndrctAdj!E44)</f>
        <v/>
      </c>
      <c r="B17" s="14" t="str">
        <f>IF(IndrctAdj!C44="","",IndrctAdj!C44)</f>
        <v/>
      </c>
      <c r="C17" s="61">
        <v>1</v>
      </c>
      <c r="D17" s="14" t="str">
        <f>IF(IndrctAdj!D20="","",IndrctAdj!D20)</f>
        <v/>
      </c>
      <c r="E17" s="19">
        <v>13</v>
      </c>
      <c r="F17" s="17" t="str">
        <f t="shared" si="4"/>
        <v/>
      </c>
      <c r="G17" s="34" t="str">
        <f t="shared" si="5"/>
        <v/>
      </c>
      <c r="H17" s="32" t="str">
        <f>IF($B$2=E17,INTERCEPT($F$5:F17,$D$5:D17)*$I$1,"")</f>
        <v/>
      </c>
      <c r="I17" s="33" t="str">
        <f>IF($B$2=E17,LINEST($F$5:F17,$D$5:D17,$I$1),"")</f>
        <v/>
      </c>
      <c r="J17" s="33" t="str">
        <f>IF($B$2=E17,INTERCEPT($G$5:G17,$D$5:D17)*$I$1,"")</f>
        <v/>
      </c>
      <c r="K17" s="34" t="str">
        <f>IF($B$2=E17,LINEST($G$5:G17,$D$5:D17,$I$1),"")</f>
        <v/>
      </c>
      <c r="L17"/>
      <c r="M17" s="17" t="str">
        <f t="shared" si="6"/>
        <v/>
      </c>
      <c r="N17" s="17" t="str">
        <f>IF(B17="","",B17-1)</f>
        <v/>
      </c>
      <c r="O17" s="32" t="str">
        <f>IF($B$2=E17,INTERCEPT($M$5:M17,$D$5:D17)*$I$1,"")</f>
        <v/>
      </c>
      <c r="P17" s="33" t="str">
        <f>IF($B$2=E17,LINEST($M$5:M17,$D$5:D17,$I$1),"")</f>
        <v/>
      </c>
      <c r="Q17" s="33" t="str">
        <f>IF($B$2=E17,INTERCEPT($N$5:N17,$D$5:D17)*$I$1,"")</f>
        <v/>
      </c>
      <c r="R17" s="34" t="str">
        <f>IF($B$2=E17,LINEST($N$5:N17,$D$5:D17,$I$1),"")</f>
        <v/>
      </c>
    </row>
    <row r="18" spans="1:18" x14ac:dyDescent="0.25">
      <c r="A18" s="14" t="str">
        <f>IF(IndrctAdj!E45="","",IndrctAdj!E45)</f>
        <v/>
      </c>
      <c r="B18" s="14" t="str">
        <f>IF(IndrctAdj!C45="","",IndrctAdj!C45)</f>
        <v/>
      </c>
      <c r="C18" s="61">
        <v>1</v>
      </c>
      <c r="D18" s="14" t="str">
        <f>IF(IndrctAdj!D21="","",IndrctAdj!D21)</f>
        <v/>
      </c>
      <c r="E18" s="19">
        <v>14</v>
      </c>
      <c r="F18" s="17" t="str">
        <f>IF(A18="","",LN(A18))</f>
        <v/>
      </c>
      <c r="G18" s="34" t="str">
        <f>IF(B18="","",LN(B18))</f>
        <v/>
      </c>
      <c r="H18" s="32" t="str">
        <f>IF($B$2=E18,INTERCEPT($F$5:F18,$D$5:D18)*$I$1,"")</f>
        <v/>
      </c>
      <c r="I18" s="33" t="str">
        <f>IF($B$2=E18,LINEST($F$5:F18,$D$5:D18,$I$1),"")</f>
        <v/>
      </c>
      <c r="J18" s="33" t="str">
        <f>IF($B$2=E18,INTERCEPT($G$5:G18,$D$5:D18)*$I$1,"")</f>
        <v/>
      </c>
      <c r="K18" s="34" t="str">
        <f>IF($B$2=E18,LINEST($G$5:G18,$D$5:D18,$I$1),"")</f>
        <v/>
      </c>
      <c r="L18"/>
      <c r="M18" s="17" t="str">
        <f>IF(A18="","",A18-1)</f>
        <v/>
      </c>
      <c r="N18" s="17" t="str">
        <f t="shared" si="7"/>
        <v/>
      </c>
      <c r="O18" s="32" t="str">
        <f>IF($B$2=E18,INTERCEPT($M$5:M18,$D$5:D18)*$I$1,"")</f>
        <v/>
      </c>
      <c r="P18" s="33" t="str">
        <f>IF($B$2=E18,LINEST($M$5:M18,$D$5:D18,$I$1),"")</f>
        <v/>
      </c>
      <c r="Q18" s="33" t="str">
        <f>IF($B$2=E18,INTERCEPT($N$5:N18,$D$5:D18)*$I$1,"")</f>
        <v/>
      </c>
      <c r="R18" s="34" t="str">
        <f>IF($B$2=E18,LINEST($N$5:N18,$D$5:D18,$I$1),"")</f>
        <v/>
      </c>
    </row>
    <row r="19" spans="1:18" x14ac:dyDescent="0.25">
      <c r="A19" s="14" t="str">
        <f>IF(IndrctAdj!E46="","",IndrctAdj!E46)</f>
        <v/>
      </c>
      <c r="B19" s="14" t="str">
        <f>IF(IndrctAdj!C46="","",IndrctAdj!C46)</f>
        <v/>
      </c>
      <c r="C19" s="61">
        <v>1</v>
      </c>
      <c r="D19" s="14" t="str">
        <f>IF(IndrctAdj!D22="","",IndrctAdj!D22)</f>
        <v/>
      </c>
      <c r="E19" s="19">
        <v>15</v>
      </c>
      <c r="F19" s="17" t="str">
        <f t="shared" si="4"/>
        <v/>
      </c>
      <c r="G19" s="34" t="str">
        <f t="shared" si="5"/>
        <v/>
      </c>
      <c r="H19" s="32" t="str">
        <f>IF($B$2=E19,INTERCEPT($F$5:F19,$D$5:D19)*$I$1,"")</f>
        <v/>
      </c>
      <c r="I19" s="33" t="str">
        <f>IF($B$2=E19,LINEST($F$5:F19,$D$5:D19,$I$1),"")</f>
        <v/>
      </c>
      <c r="J19" s="33" t="str">
        <f>IF($B$2=E19,INTERCEPT($G$5:G19,$D$5:D19)*$I$1,"")</f>
        <v/>
      </c>
      <c r="K19" s="34" t="str">
        <f>IF($B$2=E19,LINEST($G$5:G19,$D$5:D19,$I$1),"")</f>
        <v/>
      </c>
      <c r="L19"/>
      <c r="M19" s="17" t="str">
        <f t="shared" si="6"/>
        <v/>
      </c>
      <c r="N19" s="17" t="str">
        <f t="shared" si="7"/>
        <v/>
      </c>
      <c r="O19" s="32" t="str">
        <f>IF($B$2=E19,INTERCEPT($M$5:M19,$D$5:D19)*$I$1,"")</f>
        <v/>
      </c>
      <c r="P19" s="33" t="str">
        <f>IF($B$2=E19,LINEST($M$5:M19,$D$5:D19,$I$1),"")</f>
        <v/>
      </c>
      <c r="Q19" s="33" t="str">
        <f>IF($B$2=E19,INTERCEPT($N$5:N19,$D$5:D19)*$I$1,"")</f>
        <v/>
      </c>
      <c r="R19" s="34" t="str">
        <f>IF($B$2=E19,LINEST($N$5:N19,$D$5:D19,$I$1),"")</f>
        <v/>
      </c>
    </row>
    <row r="20" spans="1:18" x14ac:dyDescent="0.25">
      <c r="A20" s="15" t="str">
        <f>IF(IndrctAdj!E47="","",IndrctAdj!E47)</f>
        <v/>
      </c>
      <c r="B20" s="15" t="str">
        <f>IF(IndrctAdj!C47="","",IndrctAdj!C47)</f>
        <v/>
      </c>
      <c r="C20" s="61">
        <v>1</v>
      </c>
      <c r="D20" s="15" t="str">
        <f>IF(IndrctAdj!D23="","",IndrctAdj!D23)</f>
        <v/>
      </c>
      <c r="E20" s="19">
        <v>16</v>
      </c>
      <c r="F20" s="18" t="str">
        <f>IF(A20="","",LN(A20))</f>
        <v/>
      </c>
      <c r="G20" s="34" t="str">
        <f>IF(B20="","",LN(B20))</f>
        <v/>
      </c>
      <c r="H20" s="35" t="str">
        <f>IF($B$2=E20,INTERCEPT($F$5:F20,$D$5:D20)*$I$1,"")</f>
        <v/>
      </c>
      <c r="I20" s="36" t="str">
        <f>IF($B$2=E20,LINEST($F$5:F20,$D$5:D20,$I$1),"")</f>
        <v/>
      </c>
      <c r="J20" s="36" t="str">
        <f>IF($B$2=E20,INTERCEPT($G$5:G20,$D$5:D20)*$I$1,"")</f>
        <v/>
      </c>
      <c r="K20" s="37" t="str">
        <f>IF($B$2=E20,LINEST($G$5:G20,$D$5:D20,$I$1),"")</f>
        <v/>
      </c>
      <c r="L20"/>
      <c r="M20" s="17" t="str">
        <f>IF(A20="","",A20-1)</f>
        <v/>
      </c>
      <c r="N20" s="17" t="str">
        <f t="shared" ref="N20" si="8">IF(B20="","",B20-1)</f>
        <v/>
      </c>
      <c r="O20" s="35" t="str">
        <f>IF($B$2=E20,INTERCEPT($M$5:M20,$D$5:D20)*$I$1,"")</f>
        <v/>
      </c>
      <c r="P20" s="36" t="str">
        <f>IF($B$2=E20,LINEST($M$5:M20,$D$5:D20,$I$1),"")</f>
        <v/>
      </c>
      <c r="Q20" s="36" t="str">
        <f>IF($B$2=E20,INTERCEPT($N$5:N20,$D$5:D20)*$I$1,"")</f>
        <v/>
      </c>
      <c r="R20" s="37" t="str">
        <f>IF($B$2=E20,LINEST($N$5:N20,$D$5:D20,$I$1),"")</f>
        <v/>
      </c>
    </row>
    <row r="21" spans="1:18" x14ac:dyDescent="0.25">
      <c r="F21" s="145"/>
      <c r="G21" s="168" t="s">
        <v>26</v>
      </c>
      <c r="H21" s="171">
        <f>SUM(H5:H20)</f>
        <v>0</v>
      </c>
      <c r="I21" s="24">
        <f t="shared" ref="I21:K21" si="9">SUM(I5:I20)</f>
        <v>1.1470477280392896E-2</v>
      </c>
      <c r="J21" s="24">
        <f t="shared" si="9"/>
        <v>0</v>
      </c>
      <c r="K21" s="24">
        <f t="shared" si="9"/>
        <v>1.28169445056812E-2</v>
      </c>
      <c r="L21"/>
      <c r="M21" s="172"/>
      <c r="N21" s="168" t="s">
        <v>26</v>
      </c>
      <c r="O21" s="171">
        <f t="shared" ref="O21:R21" si="10">SUM(O5:O20)</f>
        <v>0</v>
      </c>
      <c r="P21" s="24">
        <f>SUM(P5:P20)</f>
        <v>1.6197531328253537E-2</v>
      </c>
      <c r="Q21" s="24">
        <f t="shared" si="10"/>
        <v>0</v>
      </c>
      <c r="R21" s="24">
        <f t="shared" si="10"/>
        <v>1.8860517797473424E-2</v>
      </c>
    </row>
    <row r="22" spans="1:18" x14ac:dyDescent="0.25">
      <c r="G22" s="8"/>
      <c r="H22" s="86"/>
      <c r="I22" s="86"/>
      <c r="J22" s="86"/>
      <c r="K22" s="86"/>
      <c r="L22"/>
      <c r="M22" s="7"/>
      <c r="N22" s="8"/>
      <c r="O22" s="87"/>
      <c r="P22" s="87"/>
      <c r="Q22" s="87"/>
      <c r="R22" s="87"/>
    </row>
    <row r="23" spans="1:18" ht="18.75" x14ac:dyDescent="0.3">
      <c r="A23" s="1" t="s">
        <v>265</v>
      </c>
      <c r="D23" s="86"/>
      <c r="E23" s="11"/>
      <c r="K23"/>
      <c r="L23"/>
    </row>
    <row r="24" spans="1:18" x14ac:dyDescent="0.25">
      <c r="A24" s="10" t="s">
        <v>295</v>
      </c>
      <c r="B24" s="28">
        <f>16-COUNTBLANK(A27:A42)</f>
        <v>7</v>
      </c>
      <c r="C24" s="20" t="s">
        <v>266</v>
      </c>
      <c r="D24" s="28">
        <f>16-COUNTBLANK(D27:D42)</f>
        <v>7</v>
      </c>
      <c r="E24" s="87"/>
      <c r="H24" s="93" t="s">
        <v>56</v>
      </c>
      <c r="I24" s="194">
        <f>IF(IndrctAdj!K99=1,1,IF(IndrctAdj!K99="Y",1,0))</f>
        <v>0</v>
      </c>
      <c r="K24"/>
      <c r="L24"/>
      <c r="R24" s="7"/>
    </row>
    <row r="25" spans="1:18" x14ac:dyDescent="0.25">
      <c r="A25" s="10" t="s">
        <v>296</v>
      </c>
      <c r="B25" s="790">
        <f>16-COUNTBLANK(B27:B42)</f>
        <v>7</v>
      </c>
      <c r="F25" s="960" t="s">
        <v>31</v>
      </c>
      <c r="G25" s="960"/>
      <c r="H25" s="960" t="s">
        <v>32</v>
      </c>
      <c r="I25" s="960"/>
      <c r="J25" s="7"/>
      <c r="K25"/>
      <c r="L25"/>
    </row>
    <row r="26" spans="1:18" x14ac:dyDescent="0.25">
      <c r="A26" s="7" t="s">
        <v>27</v>
      </c>
      <c r="B26" s="7" t="s">
        <v>28</v>
      </c>
      <c r="C26" s="7"/>
      <c r="D26" s="7" t="s">
        <v>42</v>
      </c>
      <c r="F26" s="80" t="s">
        <v>43</v>
      </c>
      <c r="G26" s="173" t="s">
        <v>25</v>
      </c>
      <c r="H26" s="173" t="s">
        <v>43</v>
      </c>
      <c r="I26" s="174" t="s">
        <v>25</v>
      </c>
      <c r="J26" s="7"/>
      <c r="K26"/>
      <c r="L26"/>
    </row>
    <row r="27" spans="1:18" x14ac:dyDescent="0.25">
      <c r="A27" s="21">
        <f>IF(IndrctAdj!E79="","",IndrctAdj!E79)</f>
        <v>0</v>
      </c>
      <c r="B27" s="21">
        <f>IF(IndrctAdj!C79="","",IndrctAdj!C79)</f>
        <v>0</v>
      </c>
      <c r="C27" s="61">
        <v>1</v>
      </c>
      <c r="D27" s="13">
        <f>IF(IndrctAdj!D8="","",IndrctAdj!D8)</f>
        <v>0</v>
      </c>
      <c r="E27" s="19">
        <v>1</v>
      </c>
      <c r="F27" s="29"/>
      <c r="G27" s="30"/>
      <c r="H27" s="30"/>
      <c r="I27" s="31"/>
      <c r="J27" s="12"/>
      <c r="K27"/>
      <c r="L27" s="5"/>
      <c r="M27" s="5"/>
    </row>
    <row r="28" spans="1:18" x14ac:dyDescent="0.25">
      <c r="A28" s="22">
        <f>IF(IndrctAdj!E80="","",IndrctAdj!E80)</f>
        <v>0.1806779432</v>
      </c>
      <c r="B28" s="22">
        <f>IF(IndrctAdj!C80="","",IndrctAdj!C80)</f>
        <v>0.26</v>
      </c>
      <c r="C28" s="61">
        <v>1</v>
      </c>
      <c r="D28" s="14">
        <f>IF(IndrctAdj!D9="","",IndrctAdj!D9)</f>
        <v>6.6524299999999998</v>
      </c>
      <c r="E28" s="19">
        <v>2</v>
      </c>
      <c r="F28" s="32" t="str">
        <f>IF($B$24=E28,INTERCEPT($A$27:A28,$D$27:D28)*$I$24,"")</f>
        <v/>
      </c>
      <c r="G28" s="33" t="str">
        <f>IF($B$24=E28,LINEST($A$27:A28,$D$27:D28,$I$24),"")</f>
        <v/>
      </c>
      <c r="H28" s="33" t="str">
        <f>IF($B$24=E28,INTERCEPT($B$27:B28,$D$27:D28)*$I$24,"")</f>
        <v/>
      </c>
      <c r="I28" s="34" t="str">
        <f>IF($B$24=E28,LINEST($B$27:B28,$D$27:D28,$I$24),"")</f>
        <v/>
      </c>
      <c r="J28" s="12"/>
      <c r="K28"/>
      <c r="L28" s="5"/>
      <c r="M28" s="5"/>
    </row>
    <row r="29" spans="1:18" x14ac:dyDescent="0.25">
      <c r="A29" s="22">
        <f>IF(IndrctAdj!E81="","",IndrctAdj!E81)</f>
        <v>0.37226203880000008</v>
      </c>
      <c r="B29" s="22">
        <f>IF(IndrctAdj!C81="","",IndrctAdj!C81)</f>
        <v>0.59000000000000008</v>
      </c>
      <c r="C29" s="61">
        <v>1</v>
      </c>
      <c r="D29" s="14">
        <f>IF(IndrctAdj!D10="","",IndrctAdj!D10)</f>
        <v>23.531600000000001</v>
      </c>
      <c r="E29" s="19">
        <v>3</v>
      </c>
      <c r="F29" s="32" t="str">
        <f>IF($B$24=E29,INTERCEPT($A$27:A29,$D$27:D29)*$I$24,"")</f>
        <v/>
      </c>
      <c r="G29" s="33" t="str">
        <f>IF($B$24=E29,LINEST($A$27:A29,$D$27:D29,$I$24),"")</f>
        <v/>
      </c>
      <c r="H29" s="33" t="str">
        <f>IF($B$24=E29,INTERCEPT($B$27:B29,$D$27:D29)*$I$24,"")</f>
        <v/>
      </c>
      <c r="I29" s="34" t="str">
        <f>IF($B$24=E29,LINEST($B$27:B29,$D$27:D29,$I$24),"")</f>
        <v/>
      </c>
      <c r="J29" s="12"/>
      <c r="K29"/>
      <c r="L29"/>
    </row>
    <row r="30" spans="1:18" x14ac:dyDescent="0.25">
      <c r="A30" s="22">
        <f>IF(IndrctAdj!E82="","",IndrctAdj!E82)</f>
        <v>0.43807752439999997</v>
      </c>
      <c r="B30" s="22">
        <f>IF(IndrctAdj!C82="","",IndrctAdj!C82)</f>
        <v>0.66999999999999993</v>
      </c>
      <c r="C30" s="61">
        <v>1</v>
      </c>
      <c r="D30" s="14">
        <f>IF(IndrctAdj!D11="","",IndrctAdj!D11)</f>
        <v>33.539400000000001</v>
      </c>
      <c r="E30" s="19">
        <v>4</v>
      </c>
      <c r="F30" s="32" t="str">
        <f>IF($B$24=E30,INTERCEPT($A$27:A30,$D$27:D30)*$I$24,"")</f>
        <v/>
      </c>
      <c r="G30" s="33" t="str">
        <f>IF($B$24=E30,LINEST($A$27:A30,$D$27:D30,$I$24),"")</f>
        <v/>
      </c>
      <c r="H30" s="33" t="str">
        <f>IF($B$24=E30,INTERCEPT($B$27:B30,$D$27:D30)*$I$24,"")</f>
        <v/>
      </c>
      <c r="I30" s="34" t="str">
        <f>IF($B$24=E30,LINEST($B$27:B30,$D$27:D30,$I$24),"")</f>
        <v/>
      </c>
      <c r="J30" s="12"/>
      <c r="K30"/>
      <c r="L30"/>
    </row>
    <row r="31" spans="1:18" x14ac:dyDescent="0.25">
      <c r="A31" s="22">
        <f>IF(IndrctAdj!E83="","",IndrctAdj!E83)</f>
        <v>0.64598389359999997</v>
      </c>
      <c r="B31" s="22">
        <f>IF(IndrctAdj!C83="","",IndrctAdj!C83)</f>
        <v>0.98</v>
      </c>
      <c r="C31" s="61">
        <v>1</v>
      </c>
      <c r="D31" s="14">
        <f>IF(IndrctAdj!D12="","",IndrctAdj!D12)</f>
        <v>43.674599999999998</v>
      </c>
      <c r="E31" s="19">
        <v>5</v>
      </c>
      <c r="F31" s="32" t="str">
        <f>IF($B$24=E31,INTERCEPT($A$27:A31,$D$27:D31)*$I$24,"")</f>
        <v/>
      </c>
      <c r="G31" s="33" t="str">
        <f>IF($B$24=E31,LINEST($A$27:A31,$D$27:D31,$I$24),"")</f>
        <v/>
      </c>
      <c r="H31" s="33" t="str">
        <f>IF($B$24=E31,INTERCEPT($B$27:B31,$D$27:D31)*$I$24,"")</f>
        <v/>
      </c>
      <c r="I31" s="34" t="str">
        <f>IF($B$24=E31,LINEST($B$27:B31,$D$27:D31,$I$24),"")</f>
        <v/>
      </c>
      <c r="J31" s="12"/>
      <c r="K31"/>
      <c r="L31"/>
    </row>
    <row r="32" spans="1:18" x14ac:dyDescent="0.25">
      <c r="A32" s="22">
        <f>IF(IndrctAdj!E84="","",IndrctAdj!E84)</f>
        <v>0.79446647760000011</v>
      </c>
      <c r="B32" s="22">
        <f>IF(IndrctAdj!C84="","",IndrctAdj!C84)</f>
        <v>1.1800000000000002</v>
      </c>
      <c r="C32" s="61">
        <v>1</v>
      </c>
      <c r="D32" s="14">
        <f>IF(IndrctAdj!D13="","",IndrctAdj!D13)</f>
        <v>53.618000000000002</v>
      </c>
      <c r="E32" s="19">
        <v>6</v>
      </c>
      <c r="F32" s="32" t="str">
        <f>IF($B$24=E32,INTERCEPT($A$27:A32,$D$27:D32)*$I$24,"")</f>
        <v/>
      </c>
      <c r="G32" s="33" t="str">
        <f>IF($B$24=E32,LINEST($A$27:A32,$D$27:D32,$I$24),"")</f>
        <v/>
      </c>
      <c r="H32" s="33" t="str">
        <f>IF($B$24=E32,INTERCEPT($B$27:B32,$D$27:D32)*$I$24,"")</f>
        <v/>
      </c>
      <c r="I32" s="34" t="str">
        <f>IF($B$24=E32,LINEST($B$27:B32,$D$27:D32,$I$24),"")</f>
        <v/>
      </c>
      <c r="J32" s="12"/>
      <c r="K32"/>
      <c r="L32"/>
    </row>
    <row r="33" spans="1:35" x14ac:dyDescent="0.25">
      <c r="A33" s="22">
        <f>IF(IndrctAdj!E85="","",IndrctAdj!E85)</f>
        <v>0.84711228319999987</v>
      </c>
      <c r="B33" s="22">
        <f>IF(IndrctAdj!C85="","",IndrctAdj!C85)</f>
        <v>1.2599999999999998</v>
      </c>
      <c r="C33" s="61">
        <v>1</v>
      </c>
      <c r="D33" s="14">
        <f>IF(IndrctAdj!D14="","",IndrctAdj!D14)</f>
        <v>80.8767</v>
      </c>
      <c r="E33" s="19">
        <v>7</v>
      </c>
      <c r="F33" s="32">
        <f>IF($B$24=E33,INTERCEPT($A$27:A33,$D$27:D33)*$I$24,"")</f>
        <v>0</v>
      </c>
      <c r="G33" s="33">
        <f>IF($B$24=E33,LINEST($A$27:A33,$D$27:D33,$I$24),"")</f>
        <v>1.2568879307991523E-2</v>
      </c>
      <c r="H33" s="33">
        <f>IF($B$24=E33,INTERCEPT($B$27:B33,$D$27:D33)*$I$24,"")</f>
        <v>0</v>
      </c>
      <c r="I33" s="34">
        <f>IF($B$24=E33,LINEST($B$27:B33,$D$27:D33,$I$24),"")</f>
        <v>1.8860517797473424E-2</v>
      </c>
      <c r="J33" s="12"/>
      <c r="K33"/>
      <c r="L33"/>
      <c r="N33" s="25"/>
    </row>
    <row r="34" spans="1:35" x14ac:dyDescent="0.25">
      <c r="A34" s="22" t="str">
        <f>IF(IndrctAdj!E86="","",IndrctAdj!E86)</f>
        <v/>
      </c>
      <c r="B34" s="22" t="str">
        <f>IF(IndrctAdj!C86="","",IndrctAdj!C86)</f>
        <v/>
      </c>
      <c r="C34" s="61">
        <v>1</v>
      </c>
      <c r="D34" s="14" t="str">
        <f>IF(IndrctAdj!D15="","",IndrctAdj!D15)</f>
        <v/>
      </c>
      <c r="E34" s="19">
        <v>8</v>
      </c>
      <c r="F34" s="32" t="str">
        <f>IF($B$24=E34,INTERCEPT($A$27:A34,$D$27:D34)*$I$24,"")</f>
        <v/>
      </c>
      <c r="G34" s="33" t="str">
        <f>IF($B$24=E34,LINEST($A$27:A34,$D$27:D34,$I$24),"")</f>
        <v/>
      </c>
      <c r="H34" s="33" t="str">
        <f>IF($B$24=E34,INTERCEPT($B$27:B34,$D$27:D34)*$I$24,"")</f>
        <v/>
      </c>
      <c r="I34" s="34" t="str">
        <f>IF($B$24=E34,LINEST($B$27:B34,$D$27:D34,$I$24),"")</f>
        <v/>
      </c>
      <c r="J34" s="12"/>
      <c r="K34"/>
      <c r="L34"/>
      <c r="N34" s="25"/>
    </row>
    <row r="35" spans="1:35" x14ac:dyDescent="0.25">
      <c r="A35" s="22" t="str">
        <f>IF(IndrctAdj!E87="","",IndrctAdj!E87)</f>
        <v/>
      </c>
      <c r="B35" s="22" t="str">
        <f>IF(IndrctAdj!C87="","",IndrctAdj!C87)</f>
        <v/>
      </c>
      <c r="C35" s="61">
        <v>1</v>
      </c>
      <c r="D35" s="14" t="str">
        <f>IF(IndrctAdj!D16="","",IndrctAdj!D16)</f>
        <v/>
      </c>
      <c r="E35" s="19">
        <v>9</v>
      </c>
      <c r="F35" s="32" t="str">
        <f>IF($B$24=E35,INTERCEPT($A$27:A35,$D$27:D35)*$I$24,"")</f>
        <v/>
      </c>
      <c r="G35" s="33" t="str">
        <f>IF($B$24=E35,LINEST($A$27:A35,$D$27:D35,$I$24),"")</f>
        <v/>
      </c>
      <c r="H35" s="33" t="str">
        <f>IF($B$24=E35,INTERCEPT($B$27:B35,$D$27:D35)*$I$24,"")</f>
        <v/>
      </c>
      <c r="I35" s="34" t="str">
        <f>IF($B$24=E35,LINEST($B$27:B35,$D$27:D35,$I$24),"")</f>
        <v/>
      </c>
      <c r="J35" s="12"/>
      <c r="K35"/>
      <c r="L35"/>
      <c r="O35" s="7"/>
      <c r="P35" s="7"/>
      <c r="Q35" s="7"/>
    </row>
    <row r="36" spans="1:35" x14ac:dyDescent="0.25">
      <c r="A36" s="22" t="str">
        <f>IF(IndrctAdj!E88="","",IndrctAdj!E88)</f>
        <v/>
      </c>
      <c r="B36" s="22" t="str">
        <f>IF(IndrctAdj!C88="","",IndrctAdj!C88)</f>
        <v/>
      </c>
      <c r="C36" s="61">
        <v>1</v>
      </c>
      <c r="D36" s="14" t="str">
        <f>IF(IndrctAdj!D17="","",IndrctAdj!D17)</f>
        <v/>
      </c>
      <c r="E36" s="19">
        <v>10</v>
      </c>
      <c r="F36" s="32" t="str">
        <f>IF($B$24=E36,INTERCEPT($A$27:A36,$D$27:D36)*$I$24,"")</f>
        <v/>
      </c>
      <c r="G36" s="33" t="str">
        <f>IF($B$24=E36,LINEST($A$27:A36,$D$27:D36,$I$24),"")</f>
        <v/>
      </c>
      <c r="H36" s="33" t="str">
        <f>IF($B$24=E36,INTERCEPT($B$27:B36,$D$27:D36)*$I$24,"")</f>
        <v/>
      </c>
      <c r="I36" s="34" t="str">
        <f>IF($B$24=E36,LINEST($B$27:B36,$D$27:D36,$I$24),"")</f>
        <v/>
      </c>
      <c r="J36" s="12"/>
      <c r="K36"/>
      <c r="L36"/>
      <c r="O36" s="7"/>
      <c r="P36" s="7"/>
      <c r="Q36" s="7"/>
    </row>
    <row r="37" spans="1:35" x14ac:dyDescent="0.25">
      <c r="A37" s="22" t="str">
        <f>IF(IndrctAdj!E89="","",IndrctAdj!E89)</f>
        <v/>
      </c>
      <c r="B37" s="22" t="str">
        <f>IF(IndrctAdj!C89="","",IndrctAdj!C89)</f>
        <v/>
      </c>
      <c r="C37" s="61">
        <v>1</v>
      </c>
      <c r="D37" s="14" t="str">
        <f>IF(IndrctAdj!D18="","",IndrctAdj!D18)</f>
        <v/>
      </c>
      <c r="E37" s="19">
        <v>11</v>
      </c>
      <c r="F37" s="32" t="str">
        <f>IF($B$24=E37,INTERCEPT($A$27:A37,$D$27:D37)*$I$24,"")</f>
        <v/>
      </c>
      <c r="G37" s="33" t="str">
        <f>IF($B$24=E37,LINEST($A$27:A37,$D$27:D37,$I$24),"")</f>
        <v/>
      </c>
      <c r="H37" s="33" t="str">
        <f>IF($B$24=E37,INTERCEPT($B$27:B37,$D$27:D37)*$I$24,"")</f>
        <v/>
      </c>
      <c r="I37" s="34" t="str">
        <f>IF($B$24=E37,LINEST($B$27:B37,$D$27:D37,$I$24),"")</f>
        <v/>
      </c>
      <c r="J37" s="12"/>
      <c r="K37"/>
      <c r="L37"/>
      <c r="O37" s="7"/>
      <c r="P37" s="7"/>
      <c r="Q37" s="7"/>
    </row>
    <row r="38" spans="1:35" x14ac:dyDescent="0.25">
      <c r="A38" s="22" t="str">
        <f>IF(IndrctAdj!E90="","",IndrctAdj!E90)</f>
        <v/>
      </c>
      <c r="B38" s="22" t="str">
        <f>IF(IndrctAdj!C90="","",IndrctAdj!C90)</f>
        <v/>
      </c>
      <c r="C38" s="61">
        <v>1</v>
      </c>
      <c r="D38" s="14" t="str">
        <f>IF(IndrctAdj!D19="","",IndrctAdj!D19)</f>
        <v/>
      </c>
      <c r="E38" s="19">
        <v>12</v>
      </c>
      <c r="F38" s="32" t="str">
        <f>IF($B$24=E38,INTERCEPT($A$27:A38,$D$27:D38)*$I$24,"")</f>
        <v/>
      </c>
      <c r="G38" s="33" t="str">
        <f>IF($B$24=E38,LINEST($A$27:A38,$D$27:D38,$I$24),"")</f>
        <v/>
      </c>
      <c r="H38" s="33" t="str">
        <f>IF($B$24=E38,INTERCEPT($B$27:B38,$D$27:D38)*$I$24,"")</f>
        <v/>
      </c>
      <c r="I38" s="34" t="str">
        <f>IF($B$24=E38,LINEST($B$27:B38,$D$27:D38,$I$24),"")</f>
        <v/>
      </c>
      <c r="J38" s="12"/>
      <c r="K38"/>
      <c r="L38"/>
      <c r="O38" s="7"/>
      <c r="P38" s="7"/>
      <c r="Q38" s="7"/>
    </row>
    <row r="39" spans="1:35" x14ac:dyDescent="0.25">
      <c r="A39" s="22" t="str">
        <f>IF(IndrctAdj!E91="","",IndrctAdj!E91)</f>
        <v/>
      </c>
      <c r="B39" s="22" t="str">
        <f>IF(IndrctAdj!C91="","",IndrctAdj!C91)</f>
        <v/>
      </c>
      <c r="C39" s="61">
        <v>1</v>
      </c>
      <c r="D39" s="14" t="str">
        <f>IF(IndrctAdj!D20="","",IndrctAdj!D20)</f>
        <v/>
      </c>
      <c r="E39" s="19">
        <v>13</v>
      </c>
      <c r="F39" s="32" t="str">
        <f>IF($B$24=E39,INTERCEPT($A$27:A39,$D$27:D39)*$I$24,"")</f>
        <v/>
      </c>
      <c r="G39" s="33" t="str">
        <f>IF($B$24=E39,LINEST($A$27:A39,$D$27:D39,$I$24),"")</f>
        <v/>
      </c>
      <c r="H39" s="33" t="str">
        <f>IF($B$24=E39,INTERCEPT($B$27:B39,$D$27:D39)*$I$24,"")</f>
        <v/>
      </c>
      <c r="I39" s="34" t="str">
        <f>IF($B$24=E39,LINEST($B$27:B39,$D$27:D39,$I$24),"")</f>
        <v/>
      </c>
      <c r="J39" s="12"/>
      <c r="K39"/>
      <c r="L39"/>
      <c r="O39" s="7"/>
      <c r="P39" s="7"/>
      <c r="Q39" s="7"/>
    </row>
    <row r="40" spans="1:35" x14ac:dyDescent="0.25">
      <c r="A40" s="22" t="str">
        <f>IF(IndrctAdj!E92="","",IndrctAdj!E92)</f>
        <v/>
      </c>
      <c r="B40" s="22" t="str">
        <f>IF(IndrctAdj!C92="","",IndrctAdj!C92)</f>
        <v/>
      </c>
      <c r="C40" s="61">
        <v>1</v>
      </c>
      <c r="D40" s="14" t="str">
        <f>IF(IndrctAdj!D21="","",IndrctAdj!D21)</f>
        <v/>
      </c>
      <c r="E40" s="19">
        <v>14</v>
      </c>
      <c r="F40" s="32" t="str">
        <f>IF($B$24=E40,INTERCEPT($A$27:A40,$D$27:D40)*$I$24,"")</f>
        <v/>
      </c>
      <c r="G40" s="33" t="str">
        <f>IF($B$24=E40,LINEST($A$27:A40,$D$27:D40,$I$24),"")</f>
        <v/>
      </c>
      <c r="H40" s="33" t="str">
        <f>IF($B$24=E40,INTERCEPT($B$27:B40,$D$27:D40)*$I$24,"")</f>
        <v/>
      </c>
      <c r="I40" s="34" t="str">
        <f>IF($B$24=E40,LINEST($B$27:B40,$D$27:D40,$I$24),"")</f>
        <v/>
      </c>
      <c r="J40" s="12"/>
      <c r="K40"/>
      <c r="L40"/>
      <c r="O40" s="7"/>
      <c r="P40" s="7"/>
      <c r="Q40" s="7"/>
    </row>
    <row r="41" spans="1:35" x14ac:dyDescent="0.25">
      <c r="A41" s="22" t="str">
        <f>IF(IndrctAdj!E93="","",IndrctAdj!E93)</f>
        <v/>
      </c>
      <c r="B41" s="22" t="str">
        <f>IF(IndrctAdj!C93="","",IndrctAdj!C93)</f>
        <v/>
      </c>
      <c r="C41" s="61">
        <v>1</v>
      </c>
      <c r="D41" s="14" t="str">
        <f>IF(IndrctAdj!D22="","",IndrctAdj!D22)</f>
        <v/>
      </c>
      <c r="E41" s="19">
        <v>15</v>
      </c>
      <c r="F41" s="32" t="str">
        <f>IF($B$24=E41,INTERCEPT($A$27:A41,$D$27:D41)*$I$24,"")</f>
        <v/>
      </c>
      <c r="G41" s="33" t="str">
        <f>IF($B$24=E41,LINEST($A$27:A41,$D$27:D41,$I$24),"")</f>
        <v/>
      </c>
      <c r="H41" s="33" t="str">
        <f>IF($B$24=E41,INTERCEPT($B$27:B41,$D$27:D41)*$I$24,"")</f>
        <v/>
      </c>
      <c r="I41" s="34" t="str">
        <f>IF($B$24=E41,LINEST($B$27:B41,$D$27:D41,$I$24),"")</f>
        <v/>
      </c>
      <c r="J41" s="12"/>
      <c r="K41"/>
      <c r="L41"/>
      <c r="O41" s="7"/>
      <c r="P41" s="7"/>
      <c r="Q41" s="7"/>
    </row>
    <row r="42" spans="1:35" x14ac:dyDescent="0.25">
      <c r="A42" s="23" t="str">
        <f>IF(IndrctAdj!E94="","",IndrctAdj!E94)</f>
        <v/>
      </c>
      <c r="B42" s="23" t="str">
        <f>IF(IndrctAdj!C94="","",IndrctAdj!C94)</f>
        <v/>
      </c>
      <c r="C42" s="61">
        <v>1</v>
      </c>
      <c r="D42" s="15" t="str">
        <f>IF(IndrctAdj!D23="","",IndrctAdj!D23)</f>
        <v/>
      </c>
      <c r="E42" s="19">
        <v>16</v>
      </c>
      <c r="F42" s="35" t="str">
        <f>IF($B$24=E42,INTERCEPT($A$27:A42,$D$27:D42)*$I$24,"")</f>
        <v/>
      </c>
      <c r="G42" s="36" t="str">
        <f>IF($B$24=E42,LINEST($A$27:A42,$D$27:D42,$I$24),"")</f>
        <v/>
      </c>
      <c r="H42" s="36" t="str">
        <f>IF($B$24=E42,INTERCEPT($B$27:B42,$D$27:D42)*$I$24,"")</f>
        <v/>
      </c>
      <c r="I42" s="37" t="str">
        <f>IF($B$24=E42,LINEST($B$27:B42,$D$27:D42,$I$24),"")</f>
        <v/>
      </c>
      <c r="J42" s="12"/>
      <c r="K42"/>
      <c r="L42"/>
      <c r="O42" s="7"/>
      <c r="P42" s="7"/>
      <c r="Q42" s="7"/>
      <c r="S42" t="s">
        <v>141</v>
      </c>
    </row>
    <row r="43" spans="1:35" x14ac:dyDescent="0.25">
      <c r="E43" s="10" t="s">
        <v>26</v>
      </c>
      <c r="F43" s="24">
        <f>SUM(F27:F42)</f>
        <v>0</v>
      </c>
      <c r="G43" s="24">
        <f t="shared" ref="G43:I43" si="11">SUM(G27:G42)</f>
        <v>1.2568879307991523E-2</v>
      </c>
      <c r="H43" s="24">
        <f t="shared" si="11"/>
        <v>0</v>
      </c>
      <c r="I43" s="24">
        <f t="shared" si="11"/>
        <v>1.8860517797473424E-2</v>
      </c>
      <c r="K43"/>
      <c r="L43"/>
      <c r="O43" s="7"/>
      <c r="P43" s="7"/>
      <c r="Q43" s="7"/>
    </row>
    <row r="44" spans="1:35" x14ac:dyDescent="0.25">
      <c r="E44" s="7"/>
      <c r="F44" s="7"/>
      <c r="G44" s="7"/>
      <c r="H44" s="7"/>
      <c r="K44"/>
      <c r="L44"/>
      <c r="M44" s="7"/>
      <c r="N44" s="7"/>
      <c r="O44" s="7"/>
    </row>
    <row r="45" spans="1:35" x14ac:dyDescent="0.25">
      <c r="E45" s="59"/>
      <c r="F45" s="5"/>
      <c r="G45" s="5"/>
      <c r="H45" s="5"/>
      <c r="I45" s="5"/>
      <c r="J45" s="5"/>
      <c r="K45" s="5"/>
      <c r="L45" s="5"/>
      <c r="M45" s="5"/>
      <c r="O45" s="5"/>
      <c r="P45" s="5"/>
      <c r="Q45" s="5"/>
      <c r="R45" s="5"/>
      <c r="S45" s="5"/>
      <c r="T45" s="25"/>
      <c r="Y45" s="7"/>
      <c r="Z45" s="7"/>
    </row>
    <row r="46" spans="1:35" ht="18.75" x14ac:dyDescent="0.3">
      <c r="A46" s="1" t="s">
        <v>93</v>
      </c>
      <c r="D46" s="59"/>
      <c r="E46" s="5"/>
      <c r="F46" s="25"/>
      <c r="J46" s="7"/>
      <c r="L46"/>
      <c r="T46" s="1" t="s">
        <v>71</v>
      </c>
    </row>
    <row r="47" spans="1:35" ht="18.75" x14ac:dyDescent="0.3">
      <c r="A47" s="1" t="s">
        <v>58</v>
      </c>
      <c r="D47" s="89">
        <v>2</v>
      </c>
      <c r="E47" s="28">
        <v>3</v>
      </c>
      <c r="F47" s="28">
        <v>4</v>
      </c>
      <c r="G47" s="28">
        <v>5</v>
      </c>
      <c r="H47" s="28">
        <v>6</v>
      </c>
      <c r="I47" s="28">
        <v>7</v>
      </c>
      <c r="J47" s="28">
        <v>8</v>
      </c>
      <c r="K47" s="28">
        <v>9</v>
      </c>
      <c r="L47" s="28">
        <v>10</v>
      </c>
      <c r="M47" s="28">
        <v>11</v>
      </c>
      <c r="N47" s="28">
        <v>12</v>
      </c>
      <c r="O47" s="28">
        <v>13</v>
      </c>
      <c r="P47" s="28">
        <v>14</v>
      </c>
      <c r="Q47" s="28">
        <v>15</v>
      </c>
      <c r="R47" s="28">
        <v>16</v>
      </c>
      <c r="T47" s="1" t="s">
        <v>57</v>
      </c>
      <c r="U47" s="89">
        <v>2</v>
      </c>
      <c r="V47" s="28">
        <v>3</v>
      </c>
      <c r="W47" s="28">
        <v>4</v>
      </c>
      <c r="X47" s="28">
        <v>5</v>
      </c>
      <c r="Y47" s="28">
        <v>6</v>
      </c>
      <c r="Z47" s="28">
        <v>7</v>
      </c>
      <c r="AA47" s="28">
        <v>8</v>
      </c>
      <c r="AB47" s="28">
        <v>9</v>
      </c>
      <c r="AC47" s="28">
        <v>10</v>
      </c>
      <c r="AD47" s="28">
        <v>11</v>
      </c>
      <c r="AE47" s="28">
        <v>12</v>
      </c>
      <c r="AF47" s="28">
        <v>13</v>
      </c>
      <c r="AG47" s="28">
        <v>14</v>
      </c>
      <c r="AH47" s="28">
        <v>15</v>
      </c>
      <c r="AI47" s="28">
        <v>16</v>
      </c>
    </row>
    <row r="48" spans="1:35" x14ac:dyDescent="0.25">
      <c r="A48" s="9" t="s">
        <v>23</v>
      </c>
      <c r="B48" s="25" t="s">
        <v>38</v>
      </c>
      <c r="C48" s="7"/>
      <c r="D48" s="82">
        <f t="array" ref="D48:D49">MMULT(MINVERSE(MMULT(MMULT(TRANSPOSE(C5:D6 ),C57:D58),C5:D6 )),MMULT(MMULT(TRANSPOSE(C5:D6 ),C57:D58),F5:F6 ))</f>
        <v>-1.1102230246251565E-16</v>
      </c>
      <c r="E48" s="25">
        <f t="array" ref="E48:E49">MMULT(MINVERSE(MMULT(MMULT(TRANSPOSE(C5:D7 ),C57:E59),C5:D7 )),MMULT(MMULT(TRANSPOSE(C5:D7 ),C57:E59),F5:F7 ))</f>
        <v>8.3157354587797105E-2</v>
      </c>
      <c r="F48" s="25">
        <f t="array" ref="F48:F49">MMULT(MINVERSE(MMULT(MMULT(TRANSPOSE(C5:D8 ),C57:F60),C5:D8 )),MMULT(MMULT(TRANSPOSE(C5:D8 ),C57:F60),F5:F8 ))</f>
        <v>9.9932399879204381E-2</v>
      </c>
      <c r="G48" s="25">
        <f t="array" ref="G48:G49">MMULT(MINVERSE(MMULT(MMULT(TRANSPOSE(C5:D9 ),C57:G61),C5:D9 )),MMULT(MMULT(TRANSPOSE(C5:D9 ),C57:G61),F5:F9 ))</f>
        <v>0.10140027346385427</v>
      </c>
      <c r="H48" s="25">
        <f t="array" ref="H48:H49">MMULT(MINVERSE(MMULT(MMULT(TRANSPOSE(C5:D10),C57:H62),C5:D10)),MMULT(MMULT(TRANSPOSE(C5:D10),C57:H62),F5:F10))</f>
        <v>0.10272792841256273</v>
      </c>
      <c r="I48" s="25">
        <f t="array" ref="I48:I49">MMULT(MINVERSE(MMULT(MMULT(TRANSPOSE(C5:D11),C57:I63),C5:D11)),MMULT(MMULT(TRANSPOSE(C5:D11),C57:I63),F5:F11))</f>
        <v>0.14196693814115913</v>
      </c>
      <c r="J48" s="25" t="e">
        <f t="array" ref="J48:J49">MMULT(MINVERSE(MMULT(MMULT(TRANSPOSE(C5:D12),C57:J64),C5:D12)),MMULT(MMULT(TRANSPOSE(C5:D12),C57:J64),F5:F12))</f>
        <v>#VALUE!</v>
      </c>
      <c r="K48" s="25" t="e">
        <f t="array" ref="K48:K49">MMULT(MINVERSE(MMULT(MMULT(TRANSPOSE(C5:D13),C57:K65),C5:D13)),MMULT(MMULT(TRANSPOSE(C5:D13),C57:K65),F5:F13))</f>
        <v>#VALUE!</v>
      </c>
      <c r="L48" s="25" t="e">
        <f t="array" ref="L48:L49">MMULT(MINVERSE(MMULT(MMULT(TRANSPOSE($C$5:$D14),$C$57:L66),$C$5:$D14)),MMULT(MMULT(TRANSPOSE($C$5:$D14),$C$57:L66),$F5:$F14))</f>
        <v>#VALUE!</v>
      </c>
      <c r="M48" s="25" t="e">
        <f t="array" ref="M48:M49">MMULT(MINVERSE(MMULT(MMULT(TRANSPOSE($C$5:$D$15),$C$57:M67),$C$5:$D$15)),MMULT(MMULT(TRANSPOSE($C$5:$D$15),$C$57:M67),$F5:$F15))</f>
        <v>#VALUE!</v>
      </c>
      <c r="N48" s="25" t="e">
        <f t="array" ref="N48:N49">MMULT(MINVERSE(MMULT(MMULT(TRANSPOSE($C$5:$D$16),$C$57:N68),$C$5:$D$16)),MMULT(MMULT(TRANSPOSE($C$5:$D$16),$C$57:N68),$F5:$F16))</f>
        <v>#VALUE!</v>
      </c>
      <c r="O48" s="25" t="e">
        <f t="array" ref="O48:O49">MMULT(MINVERSE(MMULT(MMULT(TRANSPOSE($C$5:$D$17),$C$57:O69),$C$5:$D$17)),MMULT(MMULT(TRANSPOSE($C$5:$D$17),$C$57:O69),$F5:$F17))</f>
        <v>#VALUE!</v>
      </c>
      <c r="P48" s="25" t="e">
        <f t="array" ref="P48:P49">MMULT(MINVERSE(MMULT(MMULT(TRANSPOSE($C$5:$D$17),$C$57:O69),$C$5:$D$17)),MMULT(MMULT(TRANSPOSE($C$5:$D$17),$C$57:O69),$F5:$F17))</f>
        <v>#VALUE!</v>
      </c>
      <c r="Q48" s="25" t="e">
        <f t="array" ref="Q48:Q49">MMULT(MINVERSE(MMULT(MMULT(TRANSPOSE($C$5:$D$19),$C$57:Q71),$C$5:$D$19)),MMULT(MMULT(TRANSPOSE($C$5:$D$19),$C$57:Q71),$F5:$F19))</f>
        <v>#VALUE!</v>
      </c>
      <c r="R48" s="25" t="e">
        <f t="array" ref="R48:R49">MMULT(MINVERSE(MMULT(MMULT(TRANSPOSE($C$5:$D$20),$C$57:R72),$C$5:$D$20)),MMULT(MMULT(TRANSPOSE($C$5:$D$20),$C$57:R72),$F5:$F20))</f>
        <v>#VALUE!</v>
      </c>
      <c r="U48" s="7">
        <v>0</v>
      </c>
      <c r="V48" s="7">
        <v>0</v>
      </c>
      <c r="W48" s="7">
        <v>0</v>
      </c>
      <c r="X48" s="7">
        <v>0</v>
      </c>
      <c r="Y48" s="7">
        <v>0</v>
      </c>
      <c r="Z48" s="7">
        <v>0</v>
      </c>
      <c r="AA48" s="7">
        <v>0</v>
      </c>
      <c r="AB48" s="7">
        <v>0</v>
      </c>
      <c r="AC48" s="7">
        <v>0</v>
      </c>
      <c r="AD48" s="7">
        <v>0</v>
      </c>
      <c r="AE48" s="7">
        <v>0</v>
      </c>
      <c r="AF48" s="7">
        <v>0</v>
      </c>
      <c r="AG48" s="7">
        <v>0</v>
      </c>
      <c r="AH48" s="7">
        <v>0</v>
      </c>
      <c r="AI48" s="7">
        <v>0</v>
      </c>
    </row>
    <row r="49" spans="1:35" x14ac:dyDescent="0.25">
      <c r="A49" s="9"/>
      <c r="B49" s="25" t="s">
        <v>39</v>
      </c>
      <c r="C49" s="7"/>
      <c r="D49" s="82">
        <v>3.339738951427533E-2</v>
      </c>
      <c r="E49" s="25">
        <v>1.4476846213188888E-2</v>
      </c>
      <c r="F49" s="25">
        <v>1.1816198622292912E-2</v>
      </c>
      <c r="G49" s="25">
        <v>1.1640888212850833E-2</v>
      </c>
      <c r="H49" s="25">
        <v>1.1513396706428352E-2</v>
      </c>
      <c r="I49" s="25">
        <v>8.6391837851153425E-3</v>
      </c>
      <c r="J49" s="25" t="e">
        <v>#VALUE!</v>
      </c>
      <c r="K49" s="25" t="e">
        <v>#VALUE!</v>
      </c>
      <c r="L49" s="25" t="e">
        <v>#VALUE!</v>
      </c>
      <c r="M49" s="25" t="e">
        <v>#VALUE!</v>
      </c>
      <c r="N49" s="25" t="e">
        <v>#VALUE!</v>
      </c>
      <c r="O49" s="25" t="e">
        <v>#VALUE!</v>
      </c>
      <c r="P49" s="25" t="e">
        <v>#VALUE!</v>
      </c>
      <c r="Q49" s="25" t="e">
        <v>#VALUE!</v>
      </c>
      <c r="R49" s="25" t="e">
        <v>#VALUE!</v>
      </c>
      <c r="U49" s="25">
        <f t="array" ref="U49">MMULT(MINVERSE(MMULT(MMULT(TRANSPOSE(D5:D6 ),C57:D58),D5:D6 )),MMULT(MMULT(TRANSPOSE(D5:D6 ),C57:D58),F5:F6 ))</f>
        <v>3.3397389514275323E-2</v>
      </c>
      <c r="V49" s="25">
        <f t="array" ref="V49">MMULT(MINVERSE(MMULT(MMULT(TRANSPOSE(D5:D7 ),C57:E59),D5:D7 )),MMULT(MMULT(TRANSPOSE(D5:D7 ),C57:E59),F5:F7 ))</f>
        <v>1.9511142679618215E-2</v>
      </c>
      <c r="W49" s="25">
        <f t="array" ref="W49">MMULT(MINVERSE(MMULT(MMULT(TRANSPOSE(D5:D8 ),C57:F60),D5:D8 )),MMULT(MMULT(TRANSPOSE(D5:D8 ),C57:F60),F5:F8 ))</f>
        <v>1.6140017690696409E-2</v>
      </c>
      <c r="X49" s="25">
        <f t="array" ref="X49">MMULT(MINVERSE(MMULT(MMULT(TRANSPOSE(D5:D9 ),C57:G61),D5:D9 )),MMULT(MMULT(TRANSPOSE(D5:D9 ),C57:G61),F5:F9 ))</f>
        <v>1.5101388313540963E-2</v>
      </c>
      <c r="Y49" s="25">
        <f t="array" ref="Y49">MMULT(MINVERSE(MMULT(MMULT(TRANSPOSE(D5:D10),C57:H62),D5:D10)),MMULT(MMULT(TRANSPOSE(D5:D10),C57:H62),F5:F10))</f>
        <v>1.4642356324169869E-2</v>
      </c>
      <c r="Z49" s="25">
        <f t="array" ref="Z49">MMULT(MINVERSE(MMULT(MMULT(TRANSPOSE(D5:D11),C57:I63),D5:D11)),MMULT(MMULT(TRANSPOSE(D5:D11),C57:I63),F5:F11))</f>
        <v>1.1515370786162769E-2</v>
      </c>
      <c r="AA49" s="25" t="e">
        <f t="array" ref="AA49">MMULT(MINVERSE(MMULT(MMULT(TRANSPOSE(D5:D12),C57:J64),D5:D12)),MMULT(MMULT(TRANSPOSE(D5:D12),C57:J64),F5:F12))</f>
        <v>#VALUE!</v>
      </c>
      <c r="AB49" s="25" t="e">
        <f t="array" ref="AB49">MMULT(MINVERSE(MMULT(MMULT(TRANSPOSE(D5:D13),C57:K65),D5:D13)),MMULT(MMULT(TRANSPOSE(D5:D13),C57:K65),F5:F13))</f>
        <v>#VALUE!</v>
      </c>
      <c r="AC49" s="25" t="e">
        <f t="array" ref="AC49">MMULT(MINVERSE(MMULT(MMULT(TRANSPOSE($D$5:$D$14),$C$57:$L$66),$D$5:$D$14)),MMULT(MMULT(TRANSPOSE($D$5:$D$14),$C$57:$L$66),$F$5:$F$14))</f>
        <v>#VALUE!</v>
      </c>
      <c r="AD49" s="25" t="e">
        <f>MMULT(MINVERSE(MMULT(MMULT(TRANSPOSE($D$5:$D$15),$C$57:$M$67),$D$5:$D$15)),MMULT(MMULT(TRANSPOSE($D$5:$D$15),$C$57:$M$67),$F$5:$F$15))</f>
        <v>#VALUE!</v>
      </c>
      <c r="AE49" s="25" t="e">
        <f t="array" ref="AE49">MMULT(MINVERSE(MMULT(MMULT(TRANSPOSE($D$5:$D$16),$C$57:$N$68),$D$5:$D$16)),MMULT(MMULT(TRANSPOSE($D$5:$D$16),$C$57:$N$68),$F$5:$F$16))</f>
        <v>#VALUE!</v>
      </c>
      <c r="AF49" s="25" t="e">
        <f t="array" ref="AF49">MMULT(MINVERSE(MMULT(MMULT(TRANSPOSE($D$5:$D$17),$C$57:$O$69),$D$5:$D$17)),MMULT(MMULT(TRANSPOSE($D$5:$D$17),$C$57:$O$69),$F$5:$F$17))</f>
        <v>#VALUE!</v>
      </c>
      <c r="AG49" s="25" t="e">
        <f t="array" ref="AG49">MMULT(MINVERSE(MMULT(MMULT(TRANSPOSE($D$5:$D$18),$C$57:$P$70),$D$5:$D$18)),MMULT(MMULT(TRANSPOSE($D$5:$D$18),$C$57:$P$70),$F$5:$F$18))</f>
        <v>#VALUE!</v>
      </c>
      <c r="AH49" s="25" t="e">
        <f t="array" ref="AH49">MMULT(MINVERSE(MMULT(MMULT(TRANSPOSE($D$5:$D$19),$C$57:$Q$71),$D$5:$D$19)),MMULT(MMULT(TRANSPOSE($D$5:$D$19),$C$57:$Q$71),$F$5:$F$19))</f>
        <v>#VALUE!</v>
      </c>
      <c r="AI49" s="25" t="e">
        <f t="array" ref="AI49">MMULT(MINVERSE(MMULT(MMULT(TRANSPOSE($D$5:$D$20),$C$57:$R$72),$D$5:$D$20)),MMULT(MMULT(TRANSPOSE($D$5:$D$20),$C$57:$R$72),$F$5:$F$20))</f>
        <v>#VALUE!</v>
      </c>
    </row>
    <row r="50" spans="1:35" x14ac:dyDescent="0.25">
      <c r="A50" s="9" t="s">
        <v>24</v>
      </c>
      <c r="B50" s="25" t="s">
        <v>38</v>
      </c>
      <c r="C50" s="25"/>
      <c r="D50" s="25">
        <f t="array" ref="D50:D51">MMULT(MINVERSE(MMULT(MMULT(TRANSPOSE(C5:D6),C57:D58),C5:D6)),MMULT(MMULT(TRANSPOSE(C5:D6),C57:D58),G5:G6))</f>
        <v>-1.1102230246251565E-16</v>
      </c>
      <c r="E50" s="25">
        <f t="array" ref="E50:E51">MMULT(MINVERSE(MMULT(MMULT(TRANSPOSE(C5:D7),C57:E59),C5:D7)),MMULT(MMULT(TRANSPOSE(C5:D7),C57:E59),G5:G7))</f>
        <v>7.4965395975959304E-2</v>
      </c>
      <c r="F50" s="82">
        <f t="array" ref="F50:F51">MMULT(MINVERSE(MMULT(MMULT(TRANSPOSE(C5:D8),C57:F60),C5:D8)),MMULT(MMULT(TRANSPOSE(C5:D8),C57:F60),G5:G8))</f>
        <v>9.7528502177124055E-2</v>
      </c>
      <c r="G50" s="25">
        <f t="array" ref="G50:G51">MMULT(MINVERSE(MMULT(MMULT(TRANSPOSE(C5:D9),C57:G61),C5:D9)),MMULT(MMULT(TRANSPOSE(C5:D9),C57:G61),G5:G9))</f>
        <v>0.1012004249804962</v>
      </c>
      <c r="H50" s="25">
        <f t="array" ref="H50:H51">MMULT(MINVERSE(MMULT(MMULT(TRANSPOSE(C5:D10),C57:H62),C5:D10)),MMULT(MMULT(TRANSPOSE(C5:D10),C57:H62),G5:G10))</f>
        <v>0.10488677306275906</v>
      </c>
      <c r="I50" s="25">
        <f t="array" ref="I50:I51">MMULT(MINVERSE(MMULT(MMULT(TRANSPOSE(C5:D11),C57:I63),C5:D11)),MMULT(MMULT(TRANSPOSE(C5:D11),C57:I63),G5:G11))</f>
        <v>0.15305702034090374</v>
      </c>
      <c r="J50" s="25" t="e">
        <f t="array" ref="J50:J51">MMULT(MINVERSE(MMULT(MMULT(TRANSPOSE(C5:D12),C57:J64),C5:D12)),MMULT(MMULT(TRANSPOSE(C5:D12),C57:J64),G5:G12))</f>
        <v>#VALUE!</v>
      </c>
      <c r="K50" s="25" t="e">
        <f t="array" ref="K50:K51">MMULT(MINVERSE(MMULT(MMULT(TRANSPOSE(C5:D13),C57:K65),C5:D13)),MMULT(MMULT(TRANSPOSE(C5:D13),C57:K65),G5:G13))</f>
        <v>#VALUE!</v>
      </c>
      <c r="L50" s="25" t="e">
        <f t="array" ref="L50:L51">MMULT(MINVERSE(MMULT(MMULT(TRANSPOSE($C$5:$D14),$C$57:L66),$C$5:$D14)),MMULT(MMULT(TRANSPOSE($C$5:$D14),$C$57:L66),$G5:$G14))</f>
        <v>#VALUE!</v>
      </c>
      <c r="M50" s="25" t="e">
        <f t="array" ref="M50:M51">MMULT(MINVERSE(MMULT(MMULT(TRANSPOSE($C$5:$D$15),$C$57:M67),$C$5:$D$15)),MMULT(MMULT(TRANSPOSE($C$5:$D$15),$C$57:M67),$G5:$G15))</f>
        <v>#VALUE!</v>
      </c>
      <c r="N50" s="25" t="e">
        <f t="array" ref="N50:N51">MMULT(MINVERSE(MMULT(MMULT(TRANSPOSE($C$5:$D$16),$C$57:N68),$C$5:$D$16)),MMULT(MMULT(TRANSPOSE($C$5:$D$16),$C$57:N68),$G5:$G16))</f>
        <v>#VALUE!</v>
      </c>
      <c r="O50" s="25" t="e">
        <f t="array" ref="O50:O51">MMULT(MINVERSE(MMULT(MMULT(TRANSPOSE($C$5:$D$17),$C$57:O69),$C$5:$D$17)),MMULT(MMULT(TRANSPOSE($C$5:$D$17),$C$57:O69),$G5:$G17))</f>
        <v>#VALUE!</v>
      </c>
      <c r="P50" s="25" t="e">
        <f t="array" ref="P50:P51">MMULT(MINVERSE(MMULT(MMULT(TRANSPOSE($C$5:$D$18),$C$57:P70),$C$5:$D$18)),MMULT(MMULT(TRANSPOSE($C$5:$D$18),$C$57:P70),$G5:$G18))</f>
        <v>#VALUE!</v>
      </c>
      <c r="Q50" s="25" t="e">
        <f t="array" ref="Q50:Q51">MMULT(MINVERSE(MMULT(MMULT(TRANSPOSE($C$5:$D$19),$C$57:Q71),$C$5:$D$19)),MMULT(MMULT(TRANSPOSE($C$5:$D$19),$C$57:Q71),$G5:$G19))</f>
        <v>#VALUE!</v>
      </c>
      <c r="R50" s="25" t="e">
        <f t="array" ref="R50:R51">MMULT(MINVERSE(MMULT(MMULT(TRANSPOSE($C$5:$D$20),$C$57:R72),$C$5:$D$20)),MMULT(MMULT(TRANSPOSE($C$5:$D$20),$C$57:R72),$G5:$G20))</f>
        <v>#VALUE!</v>
      </c>
      <c r="S50" s="7"/>
      <c r="U50" s="7">
        <v>0</v>
      </c>
      <c r="V50" s="7">
        <v>0</v>
      </c>
      <c r="W50" s="7">
        <v>0</v>
      </c>
      <c r="X50" s="7">
        <v>0</v>
      </c>
      <c r="Y50" s="7">
        <v>0</v>
      </c>
      <c r="Z50" s="7">
        <v>0</v>
      </c>
      <c r="AA50" s="7">
        <v>0</v>
      </c>
      <c r="AB50" s="7">
        <v>0</v>
      </c>
      <c r="AC50" s="7">
        <v>0</v>
      </c>
      <c r="AD50" s="7">
        <v>0</v>
      </c>
      <c r="AE50" s="7">
        <v>0</v>
      </c>
      <c r="AF50" s="7">
        <v>0</v>
      </c>
      <c r="AG50" s="7">
        <v>0</v>
      </c>
      <c r="AH50" s="7">
        <v>0</v>
      </c>
      <c r="AI50" s="7">
        <v>0</v>
      </c>
    </row>
    <row r="51" spans="1:35" x14ac:dyDescent="0.25">
      <c r="A51" s="9"/>
      <c r="B51" s="25" t="s">
        <v>39</v>
      </c>
      <c r="C51" s="25"/>
      <c r="D51" s="25">
        <v>3.4740947437761335E-2</v>
      </c>
      <c r="E51" s="25">
        <v>1.7684295892302367E-2</v>
      </c>
      <c r="F51" s="82">
        <v>1.4105618570458736E-2</v>
      </c>
      <c r="G51" s="25">
        <v>1.3667075158525627E-2</v>
      </c>
      <c r="H51" s="25">
        <v>1.3313084032546312E-2</v>
      </c>
      <c r="I51" s="25">
        <v>9.7846680988285389E-3</v>
      </c>
      <c r="J51" s="25" t="e">
        <v>#VALUE!</v>
      </c>
      <c r="K51" s="25" t="e">
        <v>#VALUE!</v>
      </c>
      <c r="L51" s="25" t="e">
        <v>#VALUE!</v>
      </c>
      <c r="M51" s="25" t="e">
        <v>#VALUE!</v>
      </c>
      <c r="N51" s="25" t="e">
        <v>#VALUE!</v>
      </c>
      <c r="O51" s="25" t="e">
        <v>#VALUE!</v>
      </c>
      <c r="P51" s="25" t="e">
        <v>#VALUE!</v>
      </c>
      <c r="Q51" s="25" t="e">
        <v>#VALUE!</v>
      </c>
      <c r="R51" s="25" t="e">
        <v>#VALUE!</v>
      </c>
      <c r="S51" s="7"/>
      <c r="U51" s="25">
        <f t="array" ref="U51">MMULT(MINVERSE(MMULT(MMULT(TRANSPOSE(D5:D6 ),C57:D58),D5:D6 )),MMULT(MMULT(TRANSPOSE(D5:D6 ),C57:D58),G5:G6 ))</f>
        <v>3.4740947437761335E-2</v>
      </c>
      <c r="V51" s="25">
        <f t="array" ref="V51">MMULT(MINVERSE(MMULT(MMULT(TRANSPOSE(D5:D7 ),C57:E59),D5:D7 )),MMULT(MMULT(TRANSPOSE(D5:D7 ),C57:E59),G5:G7 ))</f>
        <v>2.2222656088306349E-2</v>
      </c>
      <c r="W51" s="25">
        <f t="array" ref="W51">MMULT(MINVERSE(MMULT(MMULT(TRANSPOSE(D5:D8 ),C57:F60),D5:D8 )),MMULT(MMULT(TRANSPOSE(D5:D8 ),C57:F60),G5:G8 ))</f>
        <v>1.832542714041218E-2</v>
      </c>
      <c r="X51" s="25">
        <f t="array" ref="X51">MMULT(MINVERSE(MMULT(MMULT(TRANSPOSE(D5:D9 ),C57:G61),D5:D9 )),MMULT(MMULT(TRANSPOSE(D5:D9 ),C57:G61),G5:G9 ))</f>
        <v>1.712075500446536E-2</v>
      </c>
      <c r="Y51" s="25">
        <f t="array" ref="Y51">MMULT(MINVERSE(MMULT(MMULT(TRANSPOSE(D5:D10),C57:H62),D5:D10)),MMULT(MMULT(TRANSPOSE(D5:D10),C57:H62),G5:G10))</f>
        <v>1.6507799261598448E-2</v>
      </c>
      <c r="Z51" s="25">
        <f t="array" ref="Z51">MMULT(MINVERSE(MMULT(MMULT(TRANSPOSE(D5:D11),C57:I63),D5:D11)),MMULT(MMULT(TRANSPOSE(D5:D11),C57:I63),G5:G11))</f>
        <v>1.2885535230905751E-2</v>
      </c>
      <c r="AA51" s="25" t="e">
        <f t="array" ref="AA51">MMULT(MINVERSE(MMULT(MMULT(TRANSPOSE(D5:D12),C57:J64),D5:D12)),MMULT(MMULT(TRANSPOSE(D5:D12),C57:J64),G5:G12))</f>
        <v>#VALUE!</v>
      </c>
      <c r="AB51" s="25" t="e">
        <f t="array" ref="AB51">MMULT(MINVERSE(MMULT(MMULT(TRANSPOSE(D5:D13),C57:K65),D5:D13)),MMULT(MMULT(TRANSPOSE(D5:D13),C57:K65),G5:G13))</f>
        <v>#VALUE!</v>
      </c>
      <c r="AC51" s="25" t="e">
        <f t="array" ref="AC51">MMULT(MINVERSE(MMULT(MMULT(TRANSPOSE(D5:D14),C57:L66),D5:D14)),MMULT(MMULT(TRANSPOSE(D5:D14),C57:L66),G5:G14))</f>
        <v>#VALUE!</v>
      </c>
      <c r="AD51" s="25" t="e">
        <f t="array" ref="AD51">MMULT(MINVERSE(MMULT(MMULT(TRANSPOSE($D$5:$D$15),$C$57:$M$67),$D$5:$D$15)),MMULT(MMULT(TRANSPOSE($D$5:$D$15),$C$57:$M$67),$G$5:$G$15))</f>
        <v>#VALUE!</v>
      </c>
      <c r="AE51" s="25" t="e">
        <f t="array" ref="AE51">MMULT(MINVERSE(MMULT(MMULT(TRANSPOSE($D$5:$D$16),$C$57:$N$68),$D$5:$D$16)),MMULT(MMULT(TRANSPOSE($D$5:$D$16),$C$57:$N$68),$G$5:$G$16))</f>
        <v>#VALUE!</v>
      </c>
      <c r="AF51" s="25" t="e">
        <f t="array" ref="AF51">MMULT(MINVERSE(MMULT(MMULT(TRANSPOSE($D$5:$D$17),$C$57:$O$69),$D$5:$D$17)),MMULT(MMULT(TRANSPOSE($D$5:$D$17),$C$57:$O$69),$G$5:$G$17))</f>
        <v>#VALUE!</v>
      </c>
      <c r="AG51" s="25" t="e">
        <f t="array" ref="AG51">MMULT(MINVERSE(MMULT(MMULT(TRANSPOSE($D$5:$D$18),$C$57:$P$70),$D$5:$D$18)),MMULT(MMULT(TRANSPOSE($D$5:$D$18),$C$57:$P$70),$G$5:$G$18))</f>
        <v>#VALUE!</v>
      </c>
      <c r="AH51" s="25" t="e">
        <f t="array" ref="AH51">MMULT(MINVERSE(MMULT(MMULT(TRANSPOSE($D$5:$D$19),$C$57:$Q$71),$D$5:$D$19)),MMULT(MMULT(TRANSPOSE($D$5:$D$19),$C$57:$Q$71),$G$5:$G$19))</f>
        <v>#VALUE!</v>
      </c>
      <c r="AI51" s="25" t="e">
        <f t="array" ref="AI51">MMULT(MINVERSE(MMULT(MMULT(TRANSPOSE($D$5:$D$20),$C$57:$R$72),$D$5:$D$20)),MMULT(MMULT(TRANSPOSE($D$5:$D$20),$C$57:$R$72),$G$5:$G$20))</f>
        <v>#VALUE!</v>
      </c>
    </row>
    <row r="52" spans="1:35" x14ac:dyDescent="0.25">
      <c r="A52" s="9" t="s">
        <v>27</v>
      </c>
      <c r="B52" s="25" t="s">
        <v>38</v>
      </c>
      <c r="C52" s="25"/>
      <c r="D52" s="25">
        <f t="array" ref="D52:D53">MMULT(MINVERSE(MMULT(MMULT(TRANSPOSE(C5:D6 ),C57:D58),C5:D6 )),MMULT(MMULT(TRANSPOSE(C5:D6 ),C57:D58),M5:M6 ))</f>
        <v>0</v>
      </c>
      <c r="E52" s="25">
        <f t="array" ref="E52:E53">MMULT(MINVERSE(MMULT(MMULT(TRANSPOSE(C5:D7 ),C57:E59),C5:D7 )),MMULT(MMULT(TRANSPOSE(C5:D7 ),C57:E59),M5:M7 ))</f>
        <v>8.4323733293592329E-2</v>
      </c>
      <c r="F52" s="82">
        <f t="array" ref="F52:F53">MMULT(MINVERSE(MMULT(MMULT(TRANSPOSE(C5:D8 ),C57:F60),C5:D8 )),MMULT(MMULT(TRANSPOSE(C5:D8 ),C57:F60),M5:M8 ))</f>
        <v>0.10200988380721698</v>
      </c>
      <c r="G52" s="25">
        <f t="array" ref="G52:G53">MMULT(MINVERSE(MMULT(MMULT(TRANSPOSE(C5:D9 ),C57:G61),C5:D9 )),MMULT(MMULT(TRANSPOSE(C5:D9 ),C57:G61),M5:M9 ))</f>
        <v>9.5485721598335016E-2</v>
      </c>
      <c r="H52" s="25">
        <f t="array" ref="H52:H53">MMULT(MINVERSE(MMULT(MMULT(TRANSPOSE(C5:D10),C57:H62),C5:D10)),MMULT(MMULT(TRANSPOSE(C5:D10),C57:H62),M5:M10))</f>
        <v>9.1288934649250031E-2</v>
      </c>
      <c r="I52" s="25">
        <f t="array" ref="I52:I53">MMULT(MINVERSE(MMULT(MMULT(TRANSPOSE(C5:D11),C57:I63),C5:D11)),MMULT(MMULT(TRANSPOSE(C5:D11),C57:I63),M5:M11))</f>
        <v>0.13683998062405289</v>
      </c>
      <c r="J52" s="25" t="e">
        <f t="array" ref="J52:J53">MMULT(MINVERSE(MMULT(MMULT(TRANSPOSE(C5:D12),C57:J64),C5:D12)),MMULT(MMULT(TRANSPOSE(C5:D12),C57:J64),M5:M12))</f>
        <v>#VALUE!</v>
      </c>
      <c r="K52" s="25" t="e">
        <f t="array" ref="K52:K53">MMULT(MINVERSE(MMULT(MMULT(TRANSPOSE(C5:D13),C57:K65),C5:D13)),MMULT(MMULT(TRANSPOSE(C5:D13),C57:K65),M5:M13))</f>
        <v>#VALUE!</v>
      </c>
      <c r="L52" s="25" t="e">
        <f t="array" ref="L52:L53">MMULT(MINVERSE(MMULT(MMULT(TRANSPOSE($C$5:$D14),$C$57:L66),$C$5:$D14)),MMULT(MMULT(TRANSPOSE($C$5:$D14),$C$57:L66),$M$5:$M14))</f>
        <v>#VALUE!</v>
      </c>
      <c r="M52" s="25" t="e">
        <f t="array" ref="M52:M53">MMULT(MINVERSE(MMULT(MMULT(TRANSPOSE($C$5:$D$15),$C$57:M67),$C$5:$D$15)),MMULT(MMULT(TRANSPOSE($C$5:$D$15),$C$57:M67),$M$5:$M15))</f>
        <v>#VALUE!</v>
      </c>
      <c r="N52" s="25" t="e">
        <f t="array" ref="N52:N53">MMULT(MINVERSE(MMULT(MMULT(TRANSPOSE($C$5:$D$16),$C$57:N68),$C$5:$D$16)),MMULT(MMULT(TRANSPOSE($C$5:$D$16),$C$57:N68),$M$5:$M16))</f>
        <v>#VALUE!</v>
      </c>
      <c r="O52" s="25" t="e">
        <f t="array" ref="O52:O53">MMULT(MINVERSE(MMULT(MMULT(TRANSPOSE($C$5:$D$17),$C$57:O69),$C$5:$D$17)),MMULT(MMULT(TRANSPOSE($C$5:$D$17),$C$57:O69),$M$5:$M17))</f>
        <v>#VALUE!</v>
      </c>
      <c r="P52" s="25" t="e">
        <f t="array" ref="P52:P53">MMULT(MINVERSE(MMULT(MMULT(TRANSPOSE($C$5:$D$18),$C$57:P70),$C$5:$D$18)),MMULT(MMULT(TRANSPOSE($C$5:$D$18),$C$57:P70),$M$5:$M18))</f>
        <v>#VALUE!</v>
      </c>
      <c r="Q52" s="25" t="e">
        <f t="array" ref="Q52:Q53">MMULT(MINVERSE(MMULT(MMULT(TRANSPOSE($C$5:$D$19),$C$57:Q71),$C$5:$D$19)),MMULT(MMULT(TRANSPOSE($C$5:$D$19),$C$57:Q71),$M$5:$M19))</f>
        <v>#VALUE!</v>
      </c>
      <c r="R52" s="25" t="e">
        <f t="array" ref="R52:R53">MMULT(MINVERSE(MMULT(MMULT(TRANSPOSE($C$5:$D$20),$C$57:R72),$C$5:$D$20)),MMULT(MMULT(TRANSPOSE($C$5:$D$20),$C$57:R72),$M$5:$M20))</f>
        <v>#VALUE!</v>
      </c>
      <c r="S52" s="7"/>
      <c r="U52" s="7">
        <v>0</v>
      </c>
      <c r="V52" s="7">
        <v>0</v>
      </c>
      <c r="W52" s="7">
        <v>0</v>
      </c>
      <c r="X52" s="7">
        <v>0</v>
      </c>
      <c r="Y52" s="7">
        <v>0</v>
      </c>
      <c r="Z52" s="7">
        <v>0</v>
      </c>
      <c r="AA52" s="7">
        <v>0</v>
      </c>
      <c r="AB52" s="7">
        <v>0</v>
      </c>
      <c r="AC52" s="7">
        <v>0</v>
      </c>
      <c r="AD52" s="7">
        <v>0</v>
      </c>
      <c r="AE52" s="7">
        <v>0</v>
      </c>
      <c r="AF52" s="7">
        <v>0</v>
      </c>
      <c r="AG52" s="7">
        <v>0</v>
      </c>
      <c r="AH52" s="7">
        <v>0</v>
      </c>
      <c r="AI52" s="7">
        <v>0</v>
      </c>
    </row>
    <row r="53" spans="1:35" x14ac:dyDescent="0.25">
      <c r="A53" s="9"/>
      <c r="B53" s="25" t="s">
        <v>39</v>
      </c>
      <c r="C53" s="25"/>
      <c r="D53" s="25">
        <v>3.7398122692203564E-2</v>
      </c>
      <c r="E53" s="25">
        <v>1.8212196744953682E-2</v>
      </c>
      <c r="F53" s="82">
        <v>1.5407041054530404E-2</v>
      </c>
      <c r="G53" s="25">
        <v>1.6186231824134999E-2</v>
      </c>
      <c r="H53" s="25">
        <v>1.6589239164855225E-2</v>
      </c>
      <c r="I53" s="25">
        <v>1.3252676753477959E-2</v>
      </c>
      <c r="J53" s="25" t="e">
        <v>#VALUE!</v>
      </c>
      <c r="K53" s="25" t="e">
        <v>#VALUE!</v>
      </c>
      <c r="L53" s="25" t="e">
        <v>#VALUE!</v>
      </c>
      <c r="M53" s="25" t="e">
        <v>#VALUE!</v>
      </c>
      <c r="N53" s="25" t="e">
        <v>#VALUE!</v>
      </c>
      <c r="O53" s="25" t="e">
        <v>#VALUE!</v>
      </c>
      <c r="P53" s="25" t="e">
        <v>#VALUE!</v>
      </c>
      <c r="Q53" s="25" t="e">
        <v>#VALUE!</v>
      </c>
      <c r="R53" s="25" t="e">
        <v>#VALUE!</v>
      </c>
      <c r="S53" s="7"/>
      <c r="U53" s="25">
        <f t="array" ref="U53">MMULT(MINVERSE(MMULT(MMULT(TRANSPOSE(D5:D6 ),C57:D58),D5:D6 )),MMULT(MMULT(TRANSPOSE(D5:D6 ),C57:D58),M5:M6 ))</f>
        <v>3.7398122692203564E-2</v>
      </c>
      <c r="V53" s="25">
        <f t="array" ref="V53">MMULT(MINVERSE(MMULT(MMULT(TRANSPOSE(D5:D7 ),C57:E59),D5:D7 )),MMULT(MMULT(TRANSPOSE(D5:D7 ),C57:E59),M5:M7 ))</f>
        <v>2.3317105080004969E-2</v>
      </c>
      <c r="W53" s="25">
        <f t="array" ref="W53">MMULT(MINVERSE(MMULT(MMULT(TRANSPOSE(D5:D8 ),C57:F60),D5:D8 )),MMULT(MMULT(TRANSPOSE(D5:D8 ),C57:F60),M5:M8 ))</f>
        <v>1.9820747533154218E-2</v>
      </c>
      <c r="X53" s="25">
        <f t="array" ref="X53">MMULT(MINVERSE(MMULT(MMULT(TRANSPOSE(D5:D9 ),C57:G61),D5:D9 )),MMULT(MMULT(TRANSPOSE(D5:D9 ),C57:G61),M5:M9 ))</f>
        <v>1.9444885256892211E-2</v>
      </c>
      <c r="Y53" s="92">
        <f t="array" ref="Y53">MMULT(MINVERSE(MMULT(MMULT(TRANSPOSE(D5:D10),C57:H62),D5:D10)),MMULT(MMULT(TRANSPOSE(D5:D10),C57:H62),M5:M10))</f>
        <v>1.9369781851523635E-2</v>
      </c>
      <c r="Z53" s="25">
        <f t="array" ref="Z53">MMULT(MINVERSE(MMULT(MMULT(TRANSPOSE(D5:D11),C57:I63),D5:D11)),MMULT(MMULT(TRANSPOSE(D5:D11),C57:I63),M5:M11))</f>
        <v>1.6024993876378398E-2</v>
      </c>
      <c r="AA53" s="25" t="e">
        <f t="array" ref="AA53">MMULT(MINVERSE(MMULT(MMULT(TRANSPOSE(D5:D12),C57:J64),D5:D12)),MMULT(MMULT(TRANSPOSE(D5:D12),C57:J64),M5:M12))</f>
        <v>#VALUE!</v>
      </c>
      <c r="AB53" s="25" t="e">
        <f t="array" ref="AB53">MMULT(MINVERSE(MMULT(MMULT(TRANSPOSE(D5:D13),C57:K65),D5:D13)),MMULT(MMULT(TRANSPOSE(D5:D13),C57:K65),M5:M13))</f>
        <v>#VALUE!</v>
      </c>
      <c r="AC53" s="25" t="e">
        <f t="array" ref="AC53">MMULT(MINVERSE(MMULT(MMULT(TRANSPOSE(D5:D14),C57:L66),D5:D14)),MMULT(MMULT(TRANSPOSE(D5:D14),C57:L66),M5:M14))</f>
        <v>#VALUE!</v>
      </c>
      <c r="AD53" s="25" t="e">
        <f t="array" ref="AD53">MMULT(MINVERSE(MMULT(MMULT(TRANSPOSE($D$5:$D$15),$C$57:$M$67),$D$5:$D$15)),MMULT(MMULT(TRANSPOSE($D$5:$D$15),$C$57:$M$67),$M$5:$M$15))</f>
        <v>#VALUE!</v>
      </c>
      <c r="AE53" s="25" t="e">
        <f t="array" ref="AE53">MMULT(MINVERSE(MMULT(MMULT(TRANSPOSE($D$5:$D$16),$C$57:$N$68),$D$5:$D$16)),MMULT(MMULT(TRANSPOSE($D$5:$D$16),$C$57:$N$68),$M$5:$M$16))</f>
        <v>#VALUE!</v>
      </c>
      <c r="AF53" s="25" t="e">
        <f t="array" ref="AF53">MMULT(MINVERSE(MMULT(MMULT(TRANSPOSE($D$5:$D$17),$C$57:$O$69),$D$5:$D$17)),MMULT(MMULT(TRANSPOSE($D$5:$D$17),$C$57:$O$69),$M$5:$M$17))</f>
        <v>#VALUE!</v>
      </c>
      <c r="AG53" s="25" t="e">
        <f t="array" ref="AG53">MMULT(MINVERSE(MMULT(MMULT(TRANSPOSE($D$5:$D$18),$C$57:$P$70),$D$5:$D$18)),MMULT(MMULT(TRANSPOSE($D$5:$D$18),$C$57:$P$70),$M$5:$M$18))</f>
        <v>#VALUE!</v>
      </c>
      <c r="AH53" s="25" t="e">
        <f t="array" ref="AH53">MMULT(MINVERSE(MMULT(MMULT(TRANSPOSE($D$5:$D$19),$C$57:$Q$71),$D$5:$D$19)),MMULT(MMULT(TRANSPOSE($D$5:$D$19),$C$57:$Q$71),$M$5:$M$19))</f>
        <v>#VALUE!</v>
      </c>
      <c r="AI53" s="25" t="e">
        <f t="array" ref="AI53">MMULT(MINVERSE(MMULT(MMULT(TRANSPOSE($D$5:$D$20),$C$57:$R$72),$D$5:$D$20)),MMULT(MMULT(TRANSPOSE($D$5:$D$20),$C$57:$R$72),$M$5:$M$20))</f>
        <v>#VALUE!</v>
      </c>
    </row>
    <row r="54" spans="1:35" x14ac:dyDescent="0.25">
      <c r="A54" s="9" t="s">
        <v>28</v>
      </c>
      <c r="B54" s="25" t="s">
        <v>38</v>
      </c>
      <c r="C54" s="25"/>
      <c r="D54" s="25">
        <f t="array" ref="D54:D55">MMULT(MINVERSE(MMULT(MMULT(TRANSPOSE(C5:D6 ),C57:D58),C5:D6 )),MMULT(MMULT(TRANSPOSE(C5:D6 ),C57:D58),N5:N6 ))</f>
        <v>-1.1102230246251565E-16</v>
      </c>
      <c r="E54" s="25">
        <f t="array" ref="E54:E55">MMULT(MINVERSE(MMULT(MMULT(TRANSPOSE(C5:D7 ),C57:E59),C5:D7 )),MMULT(MMULT(TRANSPOSE(C5:D7 ),C57:E59),N5:N7 ))</f>
        <v>6.9862901067196947E-2</v>
      </c>
      <c r="F54" s="82">
        <f t="array" ref="F54:F55">MMULT(MINVERSE(MMULT(MMULT(TRANSPOSE(C5:D8 ),C57:F60),C5:D8 )),MMULT(MMULT(TRANSPOSE(C5:D8 ),C57:F60),N5:N8 ))</f>
        <v>9.5667311557413814E-2</v>
      </c>
      <c r="G54" s="25">
        <f t="array" ref="G54:G55">MMULT(MINVERSE(MMULT(MMULT(TRANSPOSE(C5:D9 ),C57:G61),C5:D9 )),MMULT(MMULT(TRANSPOSE(C5:D9 ),C57:G61),N5:N9 ))</f>
        <v>8.960144144701998E-2</v>
      </c>
      <c r="H54" s="25">
        <f t="array" ref="H54:H55">MMULT(MINVERSE(MMULT(MMULT(TRANSPOSE(C5:D10),C57:H62),C5:D10)),MMULT(MMULT(TRANSPOSE(C5:D10),C57:H62),N5:N10))</f>
        <v>8.7732588410147971E-2</v>
      </c>
      <c r="I54" s="25">
        <f t="array" ref="I54:I55">MMULT(MINVERSE(MMULT(MMULT(TRANSPOSE(C5:D11),C57:I63),C5:D11)),MMULT(MMULT(TRANSPOSE(C5:D11),C57:I63),N5:N11))</f>
        <v>0.14628530485251034</v>
      </c>
      <c r="J54" s="25" t="e">
        <f t="array" ref="J54:J55">MMULT(MINVERSE(MMULT(MMULT(TRANSPOSE(C5:D12),C57:J64),C5:D12)),MMULT(MMULT(TRANSPOSE(C5:D12),C57:J64),N5:N12))</f>
        <v>#VALUE!</v>
      </c>
      <c r="K54" s="25" t="e">
        <f t="array" ref="K54:K55">MMULT(MINVERSE(MMULT(MMULT(TRANSPOSE(C5:D13),C57:K65),C5:D13)),MMULT(MMULT(TRANSPOSE(C5:D13),C57:K65),N5:N13))</f>
        <v>#VALUE!</v>
      </c>
      <c r="L54" s="25" t="e">
        <f t="array" ref="L54:L55">MMULT(MINVERSE(MMULT(MMULT(TRANSPOSE($C$5:$D14),$C$57:L66),$C$5:$D14)),MMULT(MMULT(TRANSPOSE($C$5:$D14),$C$57:L66),$N$5:$N14))</f>
        <v>#VALUE!</v>
      </c>
      <c r="M54" s="25" t="e">
        <f t="array" ref="M54:M55">MMULT(MINVERSE(MMULT(MMULT(TRANSPOSE($C$5:$D$15),$C$57:M67),$C$5:$D$15)),MMULT(MMULT(TRANSPOSE($C$5:$D$15),$C$57:M67),$N$5:$N15))</f>
        <v>#VALUE!</v>
      </c>
      <c r="N54" s="25" t="e">
        <f t="array" ref="N54:N55">MMULT(MINVERSE(MMULT(MMULT(TRANSPOSE($C$5:$D$16),$C$57:N68),$C$5:$D$16)),MMULT(MMULT(TRANSPOSE($C$5:$D$16),$C$57:N68),$N$5:$N16))</f>
        <v>#VALUE!</v>
      </c>
      <c r="O54" s="25" t="e">
        <f t="array" ref="O54:O55">MMULT(MINVERSE(MMULT(MMULT(TRANSPOSE($C$5:$D$17),$C$57:O69),$C$5:$D$17)),MMULT(MMULT(TRANSPOSE($C$5:$D$17),$C$57:O69),$N$5:$N17))</f>
        <v>#VALUE!</v>
      </c>
      <c r="P54" s="25" t="e">
        <f t="array" ref="P54:P55">MMULT(MINVERSE(MMULT(MMULT(TRANSPOSE($C$5:$D$18),$C$57:P70),$C$5:$D$18)),MMULT(MMULT(TRANSPOSE($C$5:$D$18),$C$57:P70),$N$5:$N18))</f>
        <v>#VALUE!</v>
      </c>
      <c r="Q54" s="25" t="e">
        <f t="array" ref="Q54:Q55">MMULT(MINVERSE(MMULT(MMULT(TRANSPOSE($C$5:$D$19),$C$57:Q71),$C$5:$D$19)),MMULT(MMULT(TRANSPOSE($C$5:$D$19),$C$57:Q71),$N$5:$N19))</f>
        <v>#VALUE!</v>
      </c>
      <c r="R54" s="25" t="e">
        <f t="array" ref="R54:R55">MMULT(MINVERSE(MMULT(MMULT(TRANSPOSE($C$5:$D$20),$C$57:R72),$C$5:$D$20)),MMULT(MMULT(TRANSPOSE($C$5:$D$20),$C$57:R72),$N$5:$N20))</f>
        <v>#VALUE!</v>
      </c>
      <c r="S54" s="7"/>
      <c r="U54" s="7">
        <v>0</v>
      </c>
      <c r="V54" s="7">
        <v>0</v>
      </c>
      <c r="W54" s="7">
        <v>0</v>
      </c>
      <c r="X54" s="7">
        <v>0</v>
      </c>
      <c r="Y54" s="7">
        <v>0</v>
      </c>
      <c r="Z54" s="7">
        <v>0</v>
      </c>
      <c r="AA54" s="7">
        <v>0</v>
      </c>
      <c r="AB54" s="7">
        <v>0</v>
      </c>
      <c r="AC54" s="7">
        <v>0</v>
      </c>
      <c r="AD54" s="7">
        <v>0</v>
      </c>
      <c r="AE54" s="7">
        <v>0</v>
      </c>
      <c r="AF54" s="7">
        <v>0</v>
      </c>
      <c r="AG54" s="7">
        <v>0</v>
      </c>
      <c r="AH54" s="7">
        <v>0</v>
      </c>
      <c r="AI54" s="7">
        <v>0</v>
      </c>
    </row>
    <row r="55" spans="1:35" x14ac:dyDescent="0.25">
      <c r="B55" s="25" t="s">
        <v>39</v>
      </c>
      <c r="D55" s="25">
        <v>3.9083462734669894E-2</v>
      </c>
      <c r="E55" s="25">
        <v>2.3187766541186226E-2</v>
      </c>
      <c r="F55" s="25">
        <v>1.9094994127602669E-2</v>
      </c>
      <c r="G55" s="25">
        <v>1.981945036402254E-2</v>
      </c>
      <c r="H55" s="25">
        <v>1.9998911819112838E-2</v>
      </c>
      <c r="I55" s="25">
        <v>1.570999180454969E-2</v>
      </c>
      <c r="J55" s="25" t="e">
        <v>#VALUE!</v>
      </c>
      <c r="K55" s="25" t="e">
        <v>#VALUE!</v>
      </c>
      <c r="L55" s="25" t="e">
        <v>#VALUE!</v>
      </c>
      <c r="M55" s="25" t="e">
        <v>#VALUE!</v>
      </c>
      <c r="N55" s="25" t="e">
        <v>#VALUE!</v>
      </c>
      <c r="O55" s="25" t="e">
        <v>#VALUE!</v>
      </c>
      <c r="P55" s="25" t="e">
        <v>#VALUE!</v>
      </c>
      <c r="Q55" s="25" t="e">
        <v>#VALUE!</v>
      </c>
      <c r="R55" s="25" t="e">
        <v>#VALUE!</v>
      </c>
      <c r="U55" s="25">
        <f t="array" ref="U55">MMULT(MINVERSE(MMULT(MMULT(TRANSPOSE(D5:D6 ),C57:D58),D5:D6 )),MMULT(MMULT(TRANSPOSE(D5:D6 ),C57:D58),N5:N6 ))</f>
        <v>3.9083462734669887E-2</v>
      </c>
      <c r="V55" s="25">
        <f t="array" ref="V55">MMULT(MINVERSE(MMULT(MMULT(TRANSPOSE(D5:D7 ),C57:E59),D5:D7 )),MMULT(MMULT(TRANSPOSE(D5:D7 ),C57:E59),N5:N7 ))</f>
        <v>2.7417224749909746E-2</v>
      </c>
      <c r="W55" s="25">
        <f t="array" ref="W55">MMULT(MINVERSE(MMULT(MMULT(TRANSPOSE(D5:D8 ),C57:F60),D5:D8 )),MMULT(MMULT(TRANSPOSE(D5:D8 ),C57:F60),N5:N8 ))</f>
        <v>2.3234273744972528E-2</v>
      </c>
      <c r="X55" s="25">
        <f t="array" ref="X55">MMULT(MINVERSE(MMULT(MMULT(TRANSPOSE(D5:D9 ),C57:G61),D5:D9 )),MMULT(MMULT(TRANSPOSE(D5:D9 ),C57:G61),N5:N9 ))</f>
        <v>2.2877290215508952E-2</v>
      </c>
      <c r="Y55" s="91">
        <f t="array" ref="Y55">MMULT(MINVERSE(MMULT(MMULT(TRANSPOSE(D5:D10),C57:H62),D5:D10)),MMULT(MMULT(TRANSPOSE(D5:D10),C57:H62),N5:N10))</f>
        <v>2.2671132806504221E-2</v>
      </c>
      <c r="Z55" s="25">
        <f t="array" ref="Z55">MMULT(MINVERSE(MMULT(MMULT(TRANSPOSE(D5:D11),C57:I63),D5:D11)),MMULT(MMULT(TRANSPOSE(D5:D11),C57:I63),N5:N11))</f>
        <v>1.8673666993787773E-2</v>
      </c>
      <c r="AA55" s="25" t="e">
        <f t="array" ref="AA55">MMULT(MINVERSE(MMULT(MMULT(TRANSPOSE(D5:D12),C57:J64),D5:D12)),MMULT(MMULT(TRANSPOSE(D5:D12),C57:J64),N5:N12))</f>
        <v>#VALUE!</v>
      </c>
      <c r="AB55" s="25" t="e">
        <f t="array" ref="AB55">MMULT(MINVERSE(MMULT(MMULT(TRANSPOSE(D5:D13),C57:K65),D5:D13)),MMULT(MMULT(TRANSPOSE(D5:D13),C57:K65),N5:N13))</f>
        <v>#VALUE!</v>
      </c>
      <c r="AC55" s="25" t="e">
        <f t="array" ref="AC55">MMULT(MINVERSE(MMULT(MMULT(TRANSPOSE(D5:D14),C57:L66),D5:D14)),MMULT(MMULT(TRANSPOSE(D5:D14),C57:L66),N5:N14))</f>
        <v>#VALUE!</v>
      </c>
      <c r="AD55" s="25" t="e">
        <f t="array" ref="AD55">MMULT(MINVERSE(MMULT(MMULT(TRANSPOSE($D$5:$D$15),$C$57:$M$67),$D$5:$D$15)),MMULT(MMULT(TRANSPOSE($D$5:$D$15),$C$57:$M$67),$N$5:$N$15))</f>
        <v>#VALUE!</v>
      </c>
      <c r="AE55" s="25" t="e">
        <f t="array" ref="AE55">MMULT(MINVERSE(MMULT(MMULT(TRANSPOSE($D$5:$D$16),$C$57:$N$68),$D$5:$D$16)),MMULT(MMULT(TRANSPOSE($D$5:$D$16),$C$57:$N$68),$N$5:$N$16))</f>
        <v>#VALUE!</v>
      </c>
      <c r="AF55" s="25" t="e">
        <f t="array" ref="AF55">MMULT(MINVERSE(MMULT(MMULT(TRANSPOSE($D$5:$D$17),$C$57:$O$69),$D$5:$D$17)),MMULT(MMULT(TRANSPOSE($D$5:$D$17),$C$57:$O$69),$N$5:$N$17))</f>
        <v>#VALUE!</v>
      </c>
      <c r="AG55" s="25" t="e">
        <f t="array" ref="AG55">MMULT(MINVERSE(MMULT(MMULT(TRANSPOSE($D$5:$D$18),$C$57:$P$70),$D$5:$D$18)),MMULT(MMULT(TRANSPOSE($D$5:$D$18),$C$57:$P$70),$N$5:$N$18))</f>
        <v>#VALUE!</v>
      </c>
      <c r="AH55" s="25" t="e">
        <f t="array" ref="AH55">MMULT(MINVERSE(MMULT(MMULT(TRANSPOSE($D$5:$D$19),$C$57:$Q$71),$D$5:$D$19)),MMULT(MMULT(TRANSPOSE($D$5:$D$19),$C$57:$Q$71),$N$5:$N$19))</f>
        <v>#VALUE!</v>
      </c>
      <c r="AI55" s="25" t="e">
        <f t="array" ref="AI55">MMULT(MINVERSE(MMULT(MMULT(TRANSPOSE($D$5:$D$20),$C$57:$R$72),$D$5:$D$20)),MMULT(MMULT(TRANSPOSE($D$5:$D$20),$C$57:$R$72),$N$5:$N$20))</f>
        <v>#VALUE!</v>
      </c>
    </row>
    <row r="56" spans="1:35" x14ac:dyDescent="0.25">
      <c r="A56" s="7" t="s">
        <v>104</v>
      </c>
      <c r="B56" s="7" t="s">
        <v>104</v>
      </c>
      <c r="C56" s="51"/>
      <c r="I56" s="7"/>
      <c r="J56" s="7"/>
      <c r="K56"/>
      <c r="L56"/>
      <c r="R56" s="7"/>
      <c r="S56" s="79"/>
    </row>
    <row r="57" spans="1:35" x14ac:dyDescent="0.25">
      <c r="A57" s="13"/>
      <c r="B57" s="52">
        <f>IF( $A$73=16,1*(IndrctAdj!C32&lt;&gt;""),IF(IndrctAdj!D32&lt;=0,0,IndrctAdj!D32))</f>
        <v>250</v>
      </c>
      <c r="C57" s="178">
        <f>B57</f>
        <v>250</v>
      </c>
      <c r="D57" s="53">
        <v>0</v>
      </c>
      <c r="E57" s="53">
        <v>0</v>
      </c>
      <c r="F57" s="53">
        <v>0</v>
      </c>
      <c r="G57" s="53">
        <v>0</v>
      </c>
      <c r="H57" s="53">
        <v>0</v>
      </c>
      <c r="I57" s="53">
        <v>0</v>
      </c>
      <c r="J57" s="53">
        <v>0</v>
      </c>
      <c r="K57" s="53">
        <v>0</v>
      </c>
      <c r="L57" s="53">
        <v>0</v>
      </c>
      <c r="M57" s="166">
        <v>0</v>
      </c>
      <c r="N57" s="166">
        <v>0</v>
      </c>
      <c r="O57" s="166">
        <v>0</v>
      </c>
      <c r="P57" s="166">
        <v>0</v>
      </c>
      <c r="Q57" s="166">
        <v>0</v>
      </c>
      <c r="R57" s="167">
        <v>0</v>
      </c>
      <c r="S57" s="79"/>
    </row>
    <row r="58" spans="1:35" x14ac:dyDescent="0.25">
      <c r="A58" s="14"/>
      <c r="B58" s="175">
        <f>IF( $A$73=16,1*(IndrctAdj!C33&lt;&gt;""),IF(IndrctAdj!D33&lt;=0,0,IndrctAdj!D33))</f>
        <v>678.59253852182269</v>
      </c>
      <c r="C58" s="54">
        <v>0</v>
      </c>
      <c r="D58" s="178">
        <f>B58</f>
        <v>678.59253852182269</v>
      </c>
      <c r="E58" s="55">
        <v>0</v>
      </c>
      <c r="F58" s="55">
        <v>0</v>
      </c>
      <c r="G58" s="55">
        <v>0</v>
      </c>
      <c r="H58" s="55">
        <v>0</v>
      </c>
      <c r="I58" s="55">
        <v>0</v>
      </c>
      <c r="J58" s="55">
        <v>0</v>
      </c>
      <c r="K58" s="55">
        <v>0</v>
      </c>
      <c r="L58" s="55">
        <v>0</v>
      </c>
      <c r="M58" s="6">
        <v>0</v>
      </c>
      <c r="N58" s="6">
        <v>0</v>
      </c>
      <c r="O58" s="6">
        <v>0</v>
      </c>
      <c r="P58" s="6">
        <v>0</v>
      </c>
      <c r="Q58" s="6">
        <v>0</v>
      </c>
      <c r="R58" s="177">
        <v>0</v>
      </c>
      <c r="T58" s="79"/>
    </row>
    <row r="59" spans="1:35" x14ac:dyDescent="0.25">
      <c r="A59" s="14"/>
      <c r="B59" s="175">
        <f>IF( $A$73=16,1*(IndrctAdj!C34&lt;&gt;""),IF(IndrctAdj!D34&lt;=0,0,IndrctAdj!D34))</f>
        <v>269.8590076390488</v>
      </c>
      <c r="C59" s="54">
        <v>0</v>
      </c>
      <c r="D59" s="55">
        <v>0</v>
      </c>
      <c r="E59" s="178">
        <f>B59</f>
        <v>269.8590076390488</v>
      </c>
      <c r="F59" s="55">
        <v>0</v>
      </c>
      <c r="G59" s="55">
        <v>0</v>
      </c>
      <c r="H59" s="55">
        <v>0</v>
      </c>
      <c r="I59" s="55">
        <v>0</v>
      </c>
      <c r="J59" s="55">
        <v>0</v>
      </c>
      <c r="K59" s="55">
        <v>0</v>
      </c>
      <c r="L59" s="55">
        <v>0</v>
      </c>
      <c r="M59" s="6">
        <v>0</v>
      </c>
      <c r="N59" s="6">
        <v>0</v>
      </c>
      <c r="O59" s="6">
        <v>0</v>
      </c>
      <c r="P59" s="6">
        <v>0</v>
      </c>
      <c r="Q59" s="6">
        <v>0</v>
      </c>
      <c r="R59" s="177">
        <v>0</v>
      </c>
      <c r="T59" s="79"/>
    </row>
    <row r="60" spans="1:35" x14ac:dyDescent="0.25">
      <c r="A60" s="14"/>
      <c r="B60" s="175">
        <f>IF( $A$73=16,1*(IndrctAdj!C35&lt;&gt;""),IF(IndrctAdj!D35&lt;=0,0,IndrctAdj!D35))</f>
        <v>204.84423461094022</v>
      </c>
      <c r="C60" s="54">
        <v>0</v>
      </c>
      <c r="D60" s="55">
        <v>0</v>
      </c>
      <c r="E60" s="55">
        <v>0</v>
      </c>
      <c r="F60" s="178">
        <f>B60</f>
        <v>204.84423461094022</v>
      </c>
      <c r="G60" s="55">
        <v>0</v>
      </c>
      <c r="H60" s="55">
        <v>0</v>
      </c>
      <c r="I60" s="55">
        <v>0</v>
      </c>
      <c r="J60" s="55">
        <v>0</v>
      </c>
      <c r="K60" s="55">
        <v>0</v>
      </c>
      <c r="L60" s="55">
        <v>0</v>
      </c>
      <c r="M60" s="6">
        <v>0</v>
      </c>
      <c r="N60" s="6">
        <v>0</v>
      </c>
      <c r="O60" s="6">
        <v>0</v>
      </c>
      <c r="P60" s="6">
        <v>0</v>
      </c>
      <c r="Q60" s="6">
        <v>0</v>
      </c>
      <c r="R60" s="177">
        <v>0</v>
      </c>
      <c r="T60" s="79"/>
    </row>
    <row r="61" spans="1:35" x14ac:dyDescent="0.25">
      <c r="A61" s="14"/>
      <c r="B61" s="175">
        <f>IF( $A$73=16,1*(IndrctAdj!C36&lt;&gt;""),IF(IndrctAdj!D36&lt;=0,0,IndrctAdj!D36))</f>
        <v>174.89185122952264</v>
      </c>
      <c r="C61" s="54">
        <v>0</v>
      </c>
      <c r="D61" s="55">
        <v>0</v>
      </c>
      <c r="E61" s="55">
        <v>0</v>
      </c>
      <c r="F61" s="55">
        <v>0</v>
      </c>
      <c r="G61" s="178">
        <f>B61</f>
        <v>174.89185122952264</v>
      </c>
      <c r="H61" s="55">
        <v>0</v>
      </c>
      <c r="I61" s="55">
        <v>0</v>
      </c>
      <c r="J61" s="55">
        <v>0</v>
      </c>
      <c r="K61" s="55">
        <v>0</v>
      </c>
      <c r="L61" s="55">
        <v>0</v>
      </c>
      <c r="M61" s="6">
        <v>0</v>
      </c>
      <c r="N61" s="6">
        <v>0</v>
      </c>
      <c r="O61" s="6">
        <v>0</v>
      </c>
      <c r="P61" s="6">
        <v>0</v>
      </c>
      <c r="Q61" s="6">
        <v>0</v>
      </c>
      <c r="R61" s="177">
        <v>0</v>
      </c>
      <c r="T61" s="79"/>
    </row>
    <row r="62" spans="1:35" x14ac:dyDescent="0.25">
      <c r="A62" s="14"/>
      <c r="B62" s="175">
        <f>IF( $A$73=16,1*(IndrctAdj!C37&lt;&gt;""),IF(IndrctAdj!D37&lt;=0,0,IndrctAdj!D37))</f>
        <v>80.342980609274747</v>
      </c>
      <c r="C62" s="54">
        <v>0</v>
      </c>
      <c r="D62" s="55">
        <v>0</v>
      </c>
      <c r="E62" s="55">
        <v>0</v>
      </c>
      <c r="F62" s="55">
        <v>0</v>
      </c>
      <c r="G62" s="55">
        <v>0</v>
      </c>
      <c r="H62" s="178">
        <f>B62</f>
        <v>80.342980609274747</v>
      </c>
      <c r="I62" s="55">
        <v>0</v>
      </c>
      <c r="J62" s="55">
        <v>0</v>
      </c>
      <c r="K62" s="55">
        <v>0</v>
      </c>
      <c r="L62" s="55">
        <v>0</v>
      </c>
      <c r="M62" s="6">
        <v>0</v>
      </c>
      <c r="N62" s="6">
        <v>0</v>
      </c>
      <c r="O62" s="6">
        <v>0</v>
      </c>
      <c r="P62" s="6">
        <v>0</v>
      </c>
      <c r="Q62" s="6">
        <v>0</v>
      </c>
      <c r="R62" s="177">
        <v>0</v>
      </c>
    </row>
    <row r="63" spans="1:35" x14ac:dyDescent="0.25">
      <c r="A63" s="14"/>
      <c r="B63" s="175">
        <f>IF( $A$73=16,1*(IndrctAdj!C38&lt;&gt;""),IF(IndrctAdj!D38&lt;=0,0,IndrctAdj!D38))</f>
        <v>192.45506233444701</v>
      </c>
      <c r="C63" s="54">
        <v>0</v>
      </c>
      <c r="D63" s="55">
        <v>0</v>
      </c>
      <c r="E63" s="55">
        <v>0</v>
      </c>
      <c r="F63" s="55">
        <v>0</v>
      </c>
      <c r="G63" s="55">
        <v>0</v>
      </c>
      <c r="H63" s="55">
        <v>0</v>
      </c>
      <c r="I63" s="178">
        <f>B63</f>
        <v>192.45506233444701</v>
      </c>
      <c r="J63" s="55">
        <v>0</v>
      </c>
      <c r="K63" s="55">
        <v>0</v>
      </c>
      <c r="L63" s="55">
        <v>0</v>
      </c>
      <c r="M63" s="6">
        <v>0</v>
      </c>
      <c r="N63" s="6">
        <v>0</v>
      </c>
      <c r="O63" s="6">
        <v>0</v>
      </c>
      <c r="P63" s="6">
        <v>0</v>
      </c>
      <c r="Q63" s="6">
        <v>0</v>
      </c>
      <c r="R63" s="177">
        <v>0</v>
      </c>
    </row>
    <row r="64" spans="1:35" x14ac:dyDescent="0.25">
      <c r="A64" s="14"/>
      <c r="B64" s="175">
        <f>IF( $A$73=16,1*(IndrctAdj!C39&lt;&gt;""),IF(IndrctAdj!D39&lt;=0,0,IndrctAdj!D39))</f>
        <v>0</v>
      </c>
      <c r="C64" s="54">
        <v>0</v>
      </c>
      <c r="D64" s="55">
        <v>0</v>
      </c>
      <c r="E64" s="55">
        <v>0</v>
      </c>
      <c r="F64" s="55">
        <v>0</v>
      </c>
      <c r="G64" s="55">
        <v>0</v>
      </c>
      <c r="H64" s="55">
        <v>0</v>
      </c>
      <c r="I64" s="55">
        <v>0</v>
      </c>
      <c r="J64" s="178">
        <f>B64</f>
        <v>0</v>
      </c>
      <c r="K64" s="55">
        <v>0</v>
      </c>
      <c r="L64" s="55">
        <v>0</v>
      </c>
      <c r="M64" s="6">
        <v>0</v>
      </c>
      <c r="N64" s="6">
        <v>0</v>
      </c>
      <c r="O64" s="6">
        <v>0</v>
      </c>
      <c r="P64" s="6">
        <v>0</v>
      </c>
      <c r="Q64" s="6">
        <v>0</v>
      </c>
      <c r="R64" s="177">
        <v>0</v>
      </c>
    </row>
    <row r="65" spans="1:18" x14ac:dyDescent="0.25">
      <c r="A65" s="14"/>
      <c r="B65" s="175">
        <f>IF( $A$73=16,1*(IndrctAdj!C40&lt;&gt;""),IF(IndrctAdj!D40&lt;=0,0,IndrctAdj!D40))</f>
        <v>0</v>
      </c>
      <c r="C65" s="54">
        <v>0</v>
      </c>
      <c r="D65" s="55">
        <v>0</v>
      </c>
      <c r="E65" s="55">
        <v>0</v>
      </c>
      <c r="F65" s="55">
        <v>0</v>
      </c>
      <c r="G65" s="55">
        <v>0</v>
      </c>
      <c r="H65" s="55">
        <v>0</v>
      </c>
      <c r="I65" s="55">
        <v>0</v>
      </c>
      <c r="J65" s="55">
        <v>0</v>
      </c>
      <c r="K65" s="178">
        <f>B65</f>
        <v>0</v>
      </c>
      <c r="L65" s="55">
        <v>0</v>
      </c>
      <c r="M65" s="6">
        <v>0</v>
      </c>
      <c r="N65" s="6">
        <v>0</v>
      </c>
      <c r="O65" s="59">
        <v>0</v>
      </c>
      <c r="P65" s="6">
        <v>0</v>
      </c>
      <c r="Q65" s="6">
        <v>0</v>
      </c>
      <c r="R65" s="177">
        <v>0</v>
      </c>
    </row>
    <row r="66" spans="1:18" x14ac:dyDescent="0.25">
      <c r="A66" s="14"/>
      <c r="B66" s="175">
        <f>IF( $A$73=16,1*(IndrctAdj!C41&lt;&gt;""),IF(IndrctAdj!D41&lt;=0,0,IndrctAdj!D41))</f>
        <v>0</v>
      </c>
      <c r="C66" s="54">
        <v>0</v>
      </c>
      <c r="D66" s="55">
        <v>0</v>
      </c>
      <c r="E66" s="55">
        <v>0</v>
      </c>
      <c r="F66" s="55">
        <v>0</v>
      </c>
      <c r="G66" s="55">
        <v>0</v>
      </c>
      <c r="H66" s="55">
        <v>0</v>
      </c>
      <c r="I66" s="55">
        <v>0</v>
      </c>
      <c r="J66" s="55">
        <v>0</v>
      </c>
      <c r="K66" s="55">
        <v>0</v>
      </c>
      <c r="L66" s="178">
        <f>B66</f>
        <v>0</v>
      </c>
      <c r="M66" s="55">
        <v>0</v>
      </c>
      <c r="N66" s="55">
        <v>0</v>
      </c>
      <c r="O66" s="55">
        <v>0</v>
      </c>
      <c r="P66" s="55">
        <v>0</v>
      </c>
      <c r="Q66" s="55">
        <v>0</v>
      </c>
      <c r="R66" s="56">
        <v>0</v>
      </c>
    </row>
    <row r="67" spans="1:18" x14ac:dyDescent="0.25">
      <c r="A67" s="14"/>
      <c r="B67" s="175">
        <f>IF( $A$73=16,1*(IndrctAdj!C42&lt;&gt;""),IF(IndrctAdj!D42&lt;=0,0,IndrctAdj!D42))</f>
        <v>0</v>
      </c>
      <c r="C67" s="54">
        <v>0</v>
      </c>
      <c r="D67" s="55">
        <v>0</v>
      </c>
      <c r="E67" s="55">
        <v>0</v>
      </c>
      <c r="F67" s="55">
        <v>0</v>
      </c>
      <c r="G67" s="55">
        <v>0</v>
      </c>
      <c r="H67" s="55">
        <v>0</v>
      </c>
      <c r="I67" s="55">
        <v>0</v>
      </c>
      <c r="J67" s="55">
        <v>0</v>
      </c>
      <c r="K67" s="55">
        <v>0</v>
      </c>
      <c r="L67" s="55">
        <v>0</v>
      </c>
      <c r="M67" s="178">
        <f>B67</f>
        <v>0</v>
      </c>
      <c r="N67" s="55">
        <v>0</v>
      </c>
      <c r="O67" s="55">
        <v>0</v>
      </c>
      <c r="P67" s="55">
        <v>0</v>
      </c>
      <c r="Q67" s="55">
        <v>0</v>
      </c>
      <c r="R67" s="56">
        <v>0</v>
      </c>
    </row>
    <row r="68" spans="1:18" x14ac:dyDescent="0.25">
      <c r="A68" s="14"/>
      <c r="B68" s="175">
        <f>IF( $A$73=16,1*(IndrctAdj!C43&lt;&gt;""),IF(IndrctAdj!D43&lt;=0,0,IndrctAdj!D43))</f>
        <v>0</v>
      </c>
      <c r="C68" s="54">
        <v>0</v>
      </c>
      <c r="D68" s="55">
        <v>0</v>
      </c>
      <c r="E68" s="55">
        <v>0</v>
      </c>
      <c r="F68" s="55">
        <v>0</v>
      </c>
      <c r="G68" s="55">
        <v>0</v>
      </c>
      <c r="H68" s="55">
        <v>0</v>
      </c>
      <c r="I68" s="55">
        <v>0</v>
      </c>
      <c r="J68" s="55">
        <v>0</v>
      </c>
      <c r="K68" s="55">
        <v>0</v>
      </c>
      <c r="L68" s="55">
        <v>0</v>
      </c>
      <c r="M68" s="55">
        <v>0</v>
      </c>
      <c r="N68" s="178">
        <f>B68</f>
        <v>0</v>
      </c>
      <c r="O68" s="55">
        <v>0</v>
      </c>
      <c r="P68" s="55">
        <v>0</v>
      </c>
      <c r="Q68" s="55">
        <v>0</v>
      </c>
      <c r="R68" s="56">
        <v>0</v>
      </c>
    </row>
    <row r="69" spans="1:18" x14ac:dyDescent="0.25">
      <c r="A69" s="14"/>
      <c r="B69" s="175">
        <f>IF( $A$73=16,1*(IndrctAdj!C44&lt;&gt;""),IF(IndrctAdj!D44&lt;=0,0,IndrctAdj!D44))</f>
        <v>0</v>
      </c>
      <c r="C69" s="54">
        <v>0</v>
      </c>
      <c r="D69" s="55">
        <v>0</v>
      </c>
      <c r="E69" s="55">
        <v>0</v>
      </c>
      <c r="F69" s="55">
        <v>0</v>
      </c>
      <c r="G69" s="55">
        <v>0</v>
      </c>
      <c r="H69" s="55">
        <v>0</v>
      </c>
      <c r="I69" s="55">
        <v>0</v>
      </c>
      <c r="J69" s="55">
        <v>0</v>
      </c>
      <c r="K69" s="55">
        <v>0</v>
      </c>
      <c r="L69" s="55">
        <v>0</v>
      </c>
      <c r="M69" s="55">
        <v>0</v>
      </c>
      <c r="N69" s="55">
        <v>0</v>
      </c>
      <c r="O69" s="179">
        <f>B69</f>
        <v>0</v>
      </c>
      <c r="P69" s="55">
        <v>0</v>
      </c>
      <c r="Q69" s="55">
        <v>0</v>
      </c>
      <c r="R69" s="56">
        <v>0</v>
      </c>
    </row>
    <row r="70" spans="1:18" x14ac:dyDescent="0.25">
      <c r="A70" s="14"/>
      <c r="B70" s="175">
        <f>IF( $A$73=16,1*(IndrctAdj!C45&lt;&gt;""),IF(IndrctAdj!D45&lt;=0,0,IndrctAdj!D45))</f>
        <v>0</v>
      </c>
      <c r="C70" s="54">
        <v>0</v>
      </c>
      <c r="D70" s="55">
        <v>0</v>
      </c>
      <c r="E70" s="55">
        <v>0</v>
      </c>
      <c r="F70" s="55">
        <v>0</v>
      </c>
      <c r="G70" s="55">
        <v>0</v>
      </c>
      <c r="H70" s="55">
        <v>0</v>
      </c>
      <c r="I70" s="55">
        <v>0</v>
      </c>
      <c r="J70" s="55">
        <v>0</v>
      </c>
      <c r="K70" s="55">
        <v>0</v>
      </c>
      <c r="L70" s="55">
        <v>0</v>
      </c>
      <c r="M70" s="55">
        <v>0</v>
      </c>
      <c r="N70" s="55">
        <v>0</v>
      </c>
      <c r="O70" s="55">
        <v>0</v>
      </c>
      <c r="P70" s="178">
        <f>B70</f>
        <v>0</v>
      </c>
      <c r="Q70" s="55">
        <v>0</v>
      </c>
      <c r="R70" s="56">
        <v>0</v>
      </c>
    </row>
    <row r="71" spans="1:18" x14ac:dyDescent="0.25">
      <c r="A71" s="14"/>
      <c r="B71" s="175">
        <f>IF( $A$73=16,1*(IndrctAdj!C46&lt;&gt;""),IF(IndrctAdj!D46&lt;=0,0,IndrctAdj!D46))</f>
        <v>0</v>
      </c>
      <c r="C71" s="54">
        <v>0</v>
      </c>
      <c r="D71" s="55">
        <v>0</v>
      </c>
      <c r="E71" s="55">
        <v>0</v>
      </c>
      <c r="F71" s="55">
        <v>0</v>
      </c>
      <c r="G71" s="55">
        <v>0</v>
      </c>
      <c r="H71" s="55">
        <v>0</v>
      </c>
      <c r="I71" s="55">
        <v>0</v>
      </c>
      <c r="J71" s="55">
        <v>0</v>
      </c>
      <c r="K71" s="55">
        <v>0</v>
      </c>
      <c r="L71" s="55">
        <v>0</v>
      </c>
      <c r="M71" s="55">
        <v>0</v>
      </c>
      <c r="N71" s="55">
        <v>0</v>
      </c>
      <c r="O71" s="55">
        <v>0</v>
      </c>
      <c r="P71" s="55">
        <v>0</v>
      </c>
      <c r="Q71" s="178">
        <f>B71</f>
        <v>0</v>
      </c>
      <c r="R71" s="56">
        <v>0</v>
      </c>
    </row>
    <row r="72" spans="1:18" x14ac:dyDescent="0.25">
      <c r="A72" s="15"/>
      <c r="B72" s="176">
        <f>IF( $A$73=16,1*(IndrctAdj!C47&lt;&gt;""),IF(IndrctAdj!D47&lt;=0,0,IndrctAdj!D47))</f>
        <v>0</v>
      </c>
      <c r="C72" s="57">
        <v>0</v>
      </c>
      <c r="D72" s="58">
        <v>0</v>
      </c>
      <c r="E72" s="58">
        <v>0</v>
      </c>
      <c r="F72" s="58">
        <v>0</v>
      </c>
      <c r="G72" s="58">
        <v>0</v>
      </c>
      <c r="H72" s="58">
        <v>0</v>
      </c>
      <c r="I72" s="58">
        <v>0</v>
      </c>
      <c r="J72" s="58">
        <v>0</v>
      </c>
      <c r="K72" s="58">
        <v>0</v>
      </c>
      <c r="L72" s="58">
        <v>0</v>
      </c>
      <c r="M72" s="58">
        <v>0</v>
      </c>
      <c r="N72" s="58">
        <v>0</v>
      </c>
      <c r="O72" s="58">
        <v>0</v>
      </c>
      <c r="P72" s="58">
        <v>0</v>
      </c>
      <c r="Q72" s="58">
        <v>0</v>
      </c>
      <c r="R72" s="178">
        <f>B72</f>
        <v>0</v>
      </c>
    </row>
    <row r="73" spans="1:18" x14ac:dyDescent="0.25">
      <c r="A73" s="722">
        <f>COUNTBLANK(IndrctAdj!D32:'IndrctAdj'!D47)</f>
        <v>9</v>
      </c>
      <c r="I73" s="7"/>
      <c r="J73" s="7"/>
      <c r="K73"/>
      <c r="L73"/>
    </row>
    <row r="74" spans="1:18" ht="15.75" x14ac:dyDescent="0.25">
      <c r="B74" s="81"/>
      <c r="C74" s="956" t="s">
        <v>61</v>
      </c>
      <c r="D74" s="957"/>
      <c r="E74" s="957"/>
      <c r="F74" s="957"/>
      <c r="G74" s="956" t="s">
        <v>62</v>
      </c>
      <c r="H74" s="957"/>
      <c r="I74" s="957"/>
      <c r="J74" s="958"/>
      <c r="K74"/>
      <c r="L74" s="962" t="s">
        <v>241</v>
      </c>
      <c r="M74" s="963"/>
      <c r="N74" s="964" t="s">
        <v>222</v>
      </c>
      <c r="O74" s="965"/>
    </row>
    <row r="75" spans="1:18" ht="15.75" x14ac:dyDescent="0.25">
      <c r="C75" s="2" t="s">
        <v>43</v>
      </c>
      <c r="D75" s="88" t="s">
        <v>23</v>
      </c>
      <c r="E75" s="88" t="s">
        <v>43</v>
      </c>
      <c r="F75" s="88" t="s">
        <v>24</v>
      </c>
      <c r="G75" s="2" t="s">
        <v>43</v>
      </c>
      <c r="H75" s="88" t="s">
        <v>27</v>
      </c>
      <c r="I75" s="88" t="s">
        <v>43</v>
      </c>
      <c r="J75" s="3" t="s">
        <v>28</v>
      </c>
      <c r="L75" s="611" t="s">
        <v>19</v>
      </c>
      <c r="M75" s="611" t="s">
        <v>15</v>
      </c>
      <c r="N75" s="611" t="s">
        <v>19</v>
      </c>
      <c r="O75" s="611" t="s">
        <v>15</v>
      </c>
    </row>
    <row r="76" spans="1:18" x14ac:dyDescent="0.25">
      <c r="B76">
        <v>2</v>
      </c>
      <c r="C76" s="16" t="str">
        <f>IF($B$2=2, D48*$I$1+U48*(1-$I$1),"")</f>
        <v/>
      </c>
      <c r="D76" s="16" t="str">
        <f>IF($B$2=2, D49*$I$1+U49*(1-$I$1),"")</f>
        <v/>
      </c>
      <c r="E76" s="16" t="str">
        <f>IF($B$2=2, D50*$I$1+U50*(1-$I$1),"")</f>
        <v/>
      </c>
      <c r="F76" s="16" t="str">
        <f>IF($B$2=2, D51*$I$1+U51*(1-$I$1),"")</f>
        <v/>
      </c>
      <c r="G76" s="16" t="str">
        <f>IF($B$2=2, D52*$I$1+U52*(1-$I$1),"")</f>
        <v/>
      </c>
      <c r="H76" s="16" t="str">
        <f>IF($B$2=2, D53*$I$1+U53*(1-$I$1),"")</f>
        <v/>
      </c>
      <c r="I76" s="16" t="str">
        <f>IF($B$2=2, D54*$I$1+U54*(1-$I$1),"")</f>
        <v/>
      </c>
      <c r="J76" s="16" t="str">
        <f>IF($B$2=2, D55*$I$1+U55*(1-$I$1),"")</f>
        <v/>
      </c>
      <c r="K76"/>
      <c r="L76" s="608">
        <f>IF(D5="","",EXP($C$91+$D$91*D5))</f>
        <v>1</v>
      </c>
      <c r="M76" s="114">
        <f>IF(D5="","",EXP($E$91+$F$91*D5))</f>
        <v>1</v>
      </c>
      <c r="N76" s="114">
        <f>IF(D5="","",1 + $G$91+$H$91*D5)</f>
        <v>1</v>
      </c>
      <c r="O76" s="114">
        <f>IF(D5="","",1 + $I$91+$J$91*D5)</f>
        <v>1</v>
      </c>
    </row>
    <row r="77" spans="1:18" x14ac:dyDescent="0.25">
      <c r="B77">
        <v>3</v>
      </c>
      <c r="C77" s="17" t="str">
        <f>IF($B$2=3, E48*$I$1+V48*(1-$I$1),"")</f>
        <v/>
      </c>
      <c r="D77" s="17" t="str">
        <f>IF($B$2=3, E49*$I$1+V49*(1-$I$1),"")</f>
        <v/>
      </c>
      <c r="E77" s="17" t="str">
        <f>IF($B$2=3, E50*$I$1+V50*(1-$I$1),"")</f>
        <v/>
      </c>
      <c r="F77" s="17" t="str">
        <f>IF($B$2=3, E51*$I$1+V51*(1-$I$1),"")</f>
        <v/>
      </c>
      <c r="G77" s="17" t="str">
        <f>IF($B$2=3, E52*$I$1+V52*(1-$I$1),"")</f>
        <v/>
      </c>
      <c r="H77" s="17" t="str">
        <f>IF($B$2=3, E53*$I$1+V53*(1-$I$1),"")</f>
        <v/>
      </c>
      <c r="I77" s="17" t="str">
        <f>IF($B$2=3, E54*$I$1+V54*(1-$I$1),"")</f>
        <v/>
      </c>
      <c r="J77" s="17" t="str">
        <f>IF($B$2=3, E55*$I$1+V55*(1-$I$1),"")</f>
        <v/>
      </c>
      <c r="K77"/>
      <c r="L77" s="609">
        <f t="shared" ref="L77:L90" si="12">IF(D6="","",EXP($C$91+$D$91*D6))</f>
        <v>1.0796157578672958</v>
      </c>
      <c r="M77" s="115">
        <f t="shared" ref="M77:M90" si="13">IF(D6="","",EXP($E$91+$F$91*D6))</f>
        <v>1.0895013572275991</v>
      </c>
      <c r="N77" s="115">
        <f t="shared" ref="N77:N90" si="14">IF(D6="","",1 + $G$91+$H$91*D6)</f>
        <v>1.1066051500130358</v>
      </c>
      <c r="O77" s="115">
        <f t="shared" ref="O77:O90" si="15">IF(D6="","",1 + $I$91+$J$91*D6)</f>
        <v>1.1242252625194835</v>
      </c>
    </row>
    <row r="78" spans="1:18" x14ac:dyDescent="0.25">
      <c r="B78">
        <v>4</v>
      </c>
      <c r="C78" s="17" t="str">
        <f>IF($B$2=4, F48*$I$1+W48*(1-$I$1),"")</f>
        <v/>
      </c>
      <c r="D78" s="17" t="str">
        <f>IF($B$2=4, F49*$I$1+W49*(1-$I$1),"")</f>
        <v/>
      </c>
      <c r="E78" s="17" t="str">
        <f>IF($B$2=4, F50*$I$1+W50*(1-$I$1),"")</f>
        <v/>
      </c>
      <c r="F78" s="17" t="str">
        <f>IF($B$2=4, F51*$I$1+W51*(1-$I$1),"")</f>
        <v/>
      </c>
      <c r="G78" s="17" t="str">
        <f>IF($B$2=4, F52*$I$1+W52*(1-$I$1),"")</f>
        <v/>
      </c>
      <c r="H78" s="17" t="str">
        <f>IF($B$2=4, F53*$I$1+W53*(1-$I$1),"")</f>
        <v/>
      </c>
      <c r="I78" s="17" t="str">
        <f>IF($B$2=4, F54*$I$1+W54*(1-$I$1),"")</f>
        <v/>
      </c>
      <c r="J78" s="17" t="str">
        <f>IF($B$2=4, F55*$I$1+W55*(1-$I$1),"")</f>
        <v/>
      </c>
      <c r="K78"/>
      <c r="L78" s="609">
        <f t="shared" si="12"/>
        <v>1.3112424189819145</v>
      </c>
      <c r="M78" s="115">
        <f t="shared" si="13"/>
        <v>1.3542086489917888</v>
      </c>
      <c r="N78" s="115">
        <f t="shared" si="14"/>
        <v>1.3770937459013859</v>
      </c>
      <c r="O78" s="115">
        <f t="shared" si="15"/>
        <v>1.4394212622310163</v>
      </c>
    </row>
    <row r="79" spans="1:18" x14ac:dyDescent="0.25">
      <c r="B79">
        <v>5</v>
      </c>
      <c r="C79" s="17" t="str">
        <f>IF($B$2=5, G48*$I$1+X48*(1-$I$1),"")</f>
        <v/>
      </c>
      <c r="D79" s="17" t="str">
        <f>IF($B$2=5, G49*$I$1+X49*(1-$I$1),"")</f>
        <v/>
      </c>
      <c r="E79" s="17" t="str">
        <f>IF($B$2=5, G50*$I$1+X50*(1-$I$1),"")</f>
        <v/>
      </c>
      <c r="F79" s="17" t="str">
        <f>IF($B$2=5, G51*$I$1+X51*(1-$I$1),"")</f>
        <v/>
      </c>
      <c r="G79" s="17" t="str">
        <f>IF($B$2=5, G52*$I$1+X52*(1-$I$1),"")</f>
        <v/>
      </c>
      <c r="H79" s="17" t="str">
        <f>IF($B$2=5, G53*$I$1+X53*(1-$I$1),"")</f>
        <v/>
      </c>
      <c r="I79" s="17" t="str">
        <f>IF($B$2=5, G54*$I$1+X54*(1-$I$1),"")</f>
        <v/>
      </c>
      <c r="J79" s="17" t="str">
        <f>IF($B$2=5, G55*$I$1+X55*(1-$I$1),"")</f>
        <v/>
      </c>
      <c r="K79"/>
      <c r="L79" s="609">
        <f t="shared" si="12"/>
        <v>1.4714063247226132</v>
      </c>
      <c r="M79" s="115">
        <f t="shared" si="13"/>
        <v>1.5406018015582219</v>
      </c>
      <c r="N79" s="115">
        <f t="shared" si="14"/>
        <v>1.5374686796174055</v>
      </c>
      <c r="O79" s="115">
        <f t="shared" si="15"/>
        <v>1.6263035867714457</v>
      </c>
    </row>
    <row r="80" spans="1:18" x14ac:dyDescent="0.25">
      <c r="B80">
        <v>6</v>
      </c>
      <c r="C80" s="17" t="str">
        <f>IF($B$2=6, H48*$I$1+Y48*(1-$I$1),"")</f>
        <v/>
      </c>
      <c r="D80" s="17" t="str">
        <f>IF($B$2=6, H49*$I$1+Y49*(1-$I$1),"")</f>
        <v/>
      </c>
      <c r="E80" s="17" t="str">
        <f>IF($B$2=6, H50*$I$1+Y50*(1-$I$1),"")</f>
        <v/>
      </c>
      <c r="F80" s="17" t="str">
        <f>IF($B$2=6, H51*$I$1+Y51*(1-$I$1),"")</f>
        <v/>
      </c>
      <c r="G80" s="17" t="str">
        <f>IF($B$2=6, H52*$I$1+Y52*(1-$I$1),"")</f>
        <v/>
      </c>
      <c r="H80" s="17" t="str">
        <f>IF($B$2=6, H53*$I$1+Y53*(1-$I$1),"")</f>
        <v/>
      </c>
      <c r="I80" s="17" t="str">
        <f>IF($B$2=6, H54*$I$1+Y54*(1-$I$1),"")</f>
        <v/>
      </c>
      <c r="J80" s="17" t="str">
        <f>IF($B$2=6, H55*$I$1+Y55*(1-$I$1),"")</f>
        <v/>
      </c>
      <c r="K80"/>
      <c r="L80" s="609">
        <f t="shared" si="12"/>
        <v>1.6535578065397758</v>
      </c>
      <c r="M80" s="115">
        <f t="shared" si="13"/>
        <v>1.7555296337385362</v>
      </c>
      <c r="N80" s="115">
        <f t="shared" si="14"/>
        <v>1.6998851975532761</v>
      </c>
      <c r="O80" s="115">
        <f t="shared" si="15"/>
        <v>1.8155649364868833</v>
      </c>
    </row>
    <row r="81" spans="1:21" x14ac:dyDescent="0.25">
      <c r="B81">
        <v>7</v>
      </c>
      <c r="C81" s="17">
        <f>IF($B$2=7, I48*$I$1+Z48*(1-$I$1),"")</f>
        <v>0</v>
      </c>
      <c r="D81" s="17">
        <f>IF($B$2=7, I49*$I$1+Z49*(1-$I$1),"")</f>
        <v>1.1515370786162769E-2</v>
      </c>
      <c r="E81" s="17">
        <f>IF($B$2=7, I50*$I$1+Z50*(1-$I$1),"")</f>
        <v>0</v>
      </c>
      <c r="F81" s="17">
        <f>IF($B$2=7, I51*$I$1+Z51*(1-$I$1),"")</f>
        <v>1.2885535230905751E-2</v>
      </c>
      <c r="G81" s="17">
        <f>IF($B$2=7, I52*$I$1+Z52*(1-$I$1),"")</f>
        <v>0</v>
      </c>
      <c r="H81" s="17">
        <f>IF($B$2=7, I53*$I$1+Z53*(1-$I$1),"")</f>
        <v>1.6024993876378398E-2</v>
      </c>
      <c r="I81" s="17">
        <f>IF($B$2=7, I54*$I$1+Z54*(1-$I$1),"")</f>
        <v>0</v>
      </c>
      <c r="J81" s="17">
        <f>IF($B$2=7, I55*$I$1+Z55*(1-$I$1),"")</f>
        <v>1.8673666993787773E-2</v>
      </c>
      <c r="K81"/>
      <c r="L81" s="609">
        <f t="shared" si="12"/>
        <v>1.8541588643279194</v>
      </c>
      <c r="M81" s="115">
        <f t="shared" si="13"/>
        <v>1.9955039560907595</v>
      </c>
      <c r="N81" s="115">
        <f t="shared" si="14"/>
        <v>1.859228121663657</v>
      </c>
      <c r="O81" s="115">
        <f t="shared" si="15"/>
        <v>2.0012446768729131</v>
      </c>
    </row>
    <row r="82" spans="1:21" x14ac:dyDescent="0.25">
      <c r="B82">
        <v>8</v>
      </c>
      <c r="C82" s="17" t="str">
        <f>IF($B$2=8, J48*$I$1+AA48*(1-$I$1),"")</f>
        <v/>
      </c>
      <c r="D82" s="17" t="str">
        <f>IF($B$2=8, J49*$I$1+AA49*(1-$I$1),"")</f>
        <v/>
      </c>
      <c r="E82" s="17" t="str">
        <f>IF($B$2=8, J50*$I$1+AA50*(1-$I$1),"")</f>
        <v/>
      </c>
      <c r="F82" s="17" t="str">
        <f>IF($B$2=8, J51*$I$1+AA51*(1-$I$1),"")</f>
        <v/>
      </c>
      <c r="G82" s="17" t="str">
        <f>IF($B$2=8, J52*$I$1+AA52*(1-$I$1),"")</f>
        <v/>
      </c>
      <c r="H82" s="17" t="str">
        <f>IF($B$2=8, J53*$I$1+AA53*(1-$I$1),"")</f>
        <v/>
      </c>
      <c r="I82" s="17" t="str">
        <f>IF($B$2=8, J54*$I$1+AA54*(1-$I$1),"")</f>
        <v/>
      </c>
      <c r="J82" s="17" t="str">
        <f>IF($B$2=8, J55*$I$1+AA55*(1-$I$1),"")</f>
        <v/>
      </c>
      <c r="K82"/>
      <c r="L82" s="609">
        <f t="shared" si="12"/>
        <v>2.5378701063751206</v>
      </c>
      <c r="M82" s="115">
        <f t="shared" si="13"/>
        <v>2.8352767946456572</v>
      </c>
      <c r="N82" s="115">
        <f t="shared" si="14"/>
        <v>2.2960486222416927</v>
      </c>
      <c r="O82" s="115">
        <f t="shared" si="15"/>
        <v>2.5102645633564755</v>
      </c>
    </row>
    <row r="83" spans="1:21" x14ac:dyDescent="0.25">
      <c r="B83">
        <v>9</v>
      </c>
      <c r="C83" s="17" t="str">
        <f>IF($B$2=9, K48*$I$1+AB48*(1-$I$1),"")</f>
        <v/>
      </c>
      <c r="D83" s="17" t="str">
        <f>IF($B$2=9, K49*$I$1+AB49*(1-$I$1),"")</f>
        <v/>
      </c>
      <c r="E83" s="17" t="str">
        <f>IF($B$2=9, K50*$I$1+AB50*(1-$I$1),"")</f>
        <v/>
      </c>
      <c r="F83" s="17" t="str">
        <f>IF($B$2=9, K51*$I$1+AB51*(1-$I$1),"")</f>
        <v/>
      </c>
      <c r="G83" s="17" t="str">
        <f>IF($B$2=9, K52*$I$1+AB52*(1-$I$1),"")</f>
        <v/>
      </c>
      <c r="H83" s="17" t="str">
        <f>IF($B$2=9, K53*$I$1+AB53*(1-$I$1),"")</f>
        <v/>
      </c>
      <c r="I83" s="17" t="str">
        <f>IF($B$2=9, K54*$I$1+AB54*(1-$I$1),"")</f>
        <v/>
      </c>
      <c r="J83" s="17" t="str">
        <f>IF($B$2=9, K55*$I$1+AB55*(1-$I$1),"")</f>
        <v/>
      </c>
      <c r="K83"/>
      <c r="L83" s="609" t="str">
        <f t="shared" si="12"/>
        <v/>
      </c>
      <c r="M83" s="115" t="str">
        <f t="shared" si="13"/>
        <v/>
      </c>
      <c r="N83" s="115" t="str">
        <f t="shared" si="14"/>
        <v/>
      </c>
      <c r="O83" s="115" t="str">
        <f t="shared" si="15"/>
        <v/>
      </c>
    </row>
    <row r="84" spans="1:21" x14ac:dyDescent="0.25">
      <c r="B84">
        <v>10</v>
      </c>
      <c r="C84" s="17" t="str">
        <f>IF($B$2=10,L48*$I$1+AC48*(1-$I$1),"")</f>
        <v/>
      </c>
      <c r="D84" s="17" t="str">
        <f>IF($B$2=10,L49*$I$1+AC49*(1-$I$1),"")</f>
        <v/>
      </c>
      <c r="E84" s="17" t="str">
        <f>IF($B$2=10,L50*$I$1+AC50*(1-$I$1),"")</f>
        <v/>
      </c>
      <c r="F84" s="17" t="str">
        <f>IF($B$2=10,L51*$I$1+AC51*(1-$I$1),"")</f>
        <v/>
      </c>
      <c r="G84" s="17" t="str">
        <f>IF($B$2=10,L52*$I$1+AC52*(1-$I$1),"")</f>
        <v/>
      </c>
      <c r="H84" s="17" t="str">
        <f>IF($B$2=10,L53*$I$1+AC53*(1-$I$1),"")</f>
        <v/>
      </c>
      <c r="I84" s="17" t="str">
        <f>IF($B$2=10,L54*$I$1+AC54*(1-$I$1),"")</f>
        <v/>
      </c>
      <c r="J84" s="17" t="str">
        <f>IF($B$2=10,L55*$I$1+AC55*(1-$I$1),"")</f>
        <v/>
      </c>
      <c r="K84"/>
      <c r="L84" s="609" t="str">
        <f t="shared" si="12"/>
        <v/>
      </c>
      <c r="M84" s="115" t="str">
        <f t="shared" si="13"/>
        <v/>
      </c>
      <c r="N84" s="115" t="str">
        <f t="shared" si="14"/>
        <v/>
      </c>
      <c r="O84" s="115" t="str">
        <f t="shared" si="15"/>
        <v/>
      </c>
    </row>
    <row r="85" spans="1:21" x14ac:dyDescent="0.25">
      <c r="B85">
        <v>11</v>
      </c>
      <c r="C85" s="183" t="str">
        <f>IF($B$2=11,M48*$I$1+AD48*(1-$I$1),"")</f>
        <v/>
      </c>
      <c r="D85" s="183" t="str">
        <f>IF($B$2=11,M49*$I$1+AD49*(1-$I$1),"")</f>
        <v/>
      </c>
      <c r="E85" s="183" t="str">
        <f>IF($B$2=11,M50*$I$1+AD50*(1-$I$1),"")</f>
        <v/>
      </c>
      <c r="F85" s="183" t="str">
        <f>IF($B$2=11,M51*$I$1+AD51*(1-$I$1),"")</f>
        <v/>
      </c>
      <c r="G85" s="183" t="str">
        <f>IF($B$2=11,M52*$I$1+AD52*(1-$I$1),"")</f>
        <v/>
      </c>
      <c r="H85" s="183" t="str">
        <f>IF($B$2=11,M53*$I$1+AD53*(1-$I$1),"")</f>
        <v/>
      </c>
      <c r="I85" s="183" t="str">
        <f>IF($B$2=11,M54*$I$1+AD54*(1-$I$1),"")</f>
        <v/>
      </c>
      <c r="J85" s="183" t="str">
        <f>IF($B$2=11,M55*$I$1+AD55*(1-$I$1),"")</f>
        <v/>
      </c>
      <c r="K85"/>
      <c r="L85" s="609" t="str">
        <f t="shared" si="12"/>
        <v/>
      </c>
      <c r="M85" s="115" t="str">
        <f t="shared" si="13"/>
        <v/>
      </c>
      <c r="N85" s="115" t="str">
        <f t="shared" si="14"/>
        <v/>
      </c>
      <c r="O85" s="115" t="str">
        <f t="shared" si="15"/>
        <v/>
      </c>
    </row>
    <row r="86" spans="1:21" x14ac:dyDescent="0.25">
      <c r="B86">
        <v>12</v>
      </c>
      <c r="C86" s="183" t="str">
        <f>IF($B$2=12,N48*$I$1+AE48*(1-$I$1),"")</f>
        <v/>
      </c>
      <c r="D86" s="183" t="str">
        <f>IF($B$2=12,N49*$I$1+AE49*(1-$I$1),"")</f>
        <v/>
      </c>
      <c r="E86" s="183" t="str">
        <f>IF($B$2=12,N50*$I$1+AE50*(1-$I$1),"")</f>
        <v/>
      </c>
      <c r="F86" s="183" t="str">
        <f>IF($B$2=12,N51*$I$1+AE51*(1-$I$1),"")</f>
        <v/>
      </c>
      <c r="G86" s="183" t="str">
        <f>IF($B$2=12,N52*$I$1+AE52*(1-$I$1),"")</f>
        <v/>
      </c>
      <c r="H86" s="183" t="str">
        <f>IF($B$2=12,N53*$I$1+AE53*(1-$I$1),"")</f>
        <v/>
      </c>
      <c r="I86" s="183" t="str">
        <f>IF($B$2=12,N54*$I$1+AE54*(1-$I$1),"")</f>
        <v/>
      </c>
      <c r="J86" s="183" t="str">
        <f>IF($B$2=12,N55*$I$1+AE55*(1-$I$1),"")</f>
        <v/>
      </c>
      <c r="K86"/>
      <c r="L86" s="609" t="str">
        <f t="shared" si="12"/>
        <v/>
      </c>
      <c r="M86" s="115" t="str">
        <f t="shared" si="13"/>
        <v/>
      </c>
      <c r="N86" s="115" t="str">
        <f t="shared" si="14"/>
        <v/>
      </c>
      <c r="O86" s="115" t="str">
        <f t="shared" si="15"/>
        <v/>
      </c>
    </row>
    <row r="87" spans="1:21" x14ac:dyDescent="0.25">
      <c r="B87">
        <v>13</v>
      </c>
      <c r="C87" s="183" t="str">
        <f>IF($B$2=13,O48*$I$1+AF48*(1-$I$1),"")</f>
        <v/>
      </c>
      <c r="D87" s="183" t="str">
        <f>IF($B$2=13,O49*$I$1+AF49*(1-$I$1),"")</f>
        <v/>
      </c>
      <c r="E87" s="183" t="str">
        <f>IF($B$2=13,O50*$I$1+AF50*(1-$I$1),"")</f>
        <v/>
      </c>
      <c r="F87" s="183" t="str">
        <f>IF($B$2=13,O51*$I$1+AF51*(1-$I$1),"")</f>
        <v/>
      </c>
      <c r="G87" s="183" t="str">
        <f>IF($B$2=13,O52*$I$1+AF52*(1-$I$1),"")</f>
        <v/>
      </c>
      <c r="H87" s="183" t="str">
        <f>IF($B$2=13,O53*$I$1+AF53*(1-$I$1),"")</f>
        <v/>
      </c>
      <c r="I87" s="183" t="str">
        <f>IF($B$2=13,O54*$I$1+AF54*(1-$I$1),"")</f>
        <v/>
      </c>
      <c r="J87" s="183" t="str">
        <f>IF($B$2=13,O55*$I$1+AF55*(1-$I$1),"")</f>
        <v/>
      </c>
      <c r="K87"/>
      <c r="L87" s="609" t="str">
        <f t="shared" si="12"/>
        <v/>
      </c>
      <c r="M87" s="115" t="str">
        <f t="shared" si="13"/>
        <v/>
      </c>
      <c r="N87" s="115" t="str">
        <f t="shared" si="14"/>
        <v/>
      </c>
      <c r="O87" s="115" t="str">
        <f t="shared" si="15"/>
        <v/>
      </c>
    </row>
    <row r="88" spans="1:21" x14ac:dyDescent="0.25">
      <c r="B88">
        <v>14</v>
      </c>
      <c r="C88" s="183" t="str">
        <f>IF($B$2=14,P48*$I$1+AG48*(1-$I$1),"")</f>
        <v/>
      </c>
      <c r="D88" s="183" t="str">
        <f>IF($B$2=14,P49*$I$1+AG49*(1-$I$1),"")</f>
        <v/>
      </c>
      <c r="E88" s="183" t="str">
        <f>IF($B$2=14,P50*$I$1+AG50*(1-$I$1),"")</f>
        <v/>
      </c>
      <c r="F88" s="183" t="str">
        <f>IF($B$2=14,P51*$I$1+AG51*(1-$I$1),"")</f>
        <v/>
      </c>
      <c r="G88" s="183" t="str">
        <f>IF($B$2=14,P52*$I$1+AG52*(1-$I$1),"")</f>
        <v/>
      </c>
      <c r="H88" s="183" t="str">
        <f>IF($B$2=14,P53*$I$1+AG53*(1-$I$1),"")</f>
        <v/>
      </c>
      <c r="I88" s="183" t="str">
        <f>IF($B$2=14,P54*$I$1+AG54*(1-$I$1),"")</f>
        <v/>
      </c>
      <c r="J88" s="183" t="str">
        <f>IF($B$2=14,P55*$I$1+AG55*(1-$I$1),"")</f>
        <v/>
      </c>
      <c r="K88"/>
      <c r="L88" s="609" t="str">
        <f t="shared" si="12"/>
        <v/>
      </c>
      <c r="M88" s="115" t="str">
        <f t="shared" si="13"/>
        <v/>
      </c>
      <c r="N88" s="115" t="str">
        <f t="shared" si="14"/>
        <v/>
      </c>
      <c r="O88" s="115" t="str">
        <f t="shared" si="15"/>
        <v/>
      </c>
    </row>
    <row r="89" spans="1:21" x14ac:dyDescent="0.25">
      <c r="B89">
        <v>15</v>
      </c>
      <c r="C89" s="183" t="str">
        <f>IF($B$2=15,Q48*$I$1+AH48*(1-$I$1),"")</f>
        <v/>
      </c>
      <c r="D89" s="183" t="str">
        <f>IF($B$2=15,Q49*$I$1+AH49*(1-$I$1),"")</f>
        <v/>
      </c>
      <c r="E89" s="183" t="str">
        <f>IF($B$2=15,Q50*$I$1+AH50*(1-$I$1),"")</f>
        <v/>
      </c>
      <c r="F89" s="183" t="str">
        <f>IF($B$2=15,Q51*$I$1+AH51*(1-$I$1),"")</f>
        <v/>
      </c>
      <c r="G89" s="183" t="str">
        <f>IF($B$2=15,Q52*$I$1+AH52*(1-$I$1),"")</f>
        <v/>
      </c>
      <c r="H89" s="183" t="str">
        <f>IF($B$2=15,Q53*$I$1+AH53*(1-$I$1),"")</f>
        <v/>
      </c>
      <c r="I89" s="183" t="str">
        <f>IF($B$2=15,Q54*$I$1+AH54*(1-$I$1),"")</f>
        <v/>
      </c>
      <c r="J89" s="183" t="str">
        <f>IF($B$2=15,Q55*$I$1+AH55*(1-$I$1),"")</f>
        <v/>
      </c>
      <c r="K89"/>
      <c r="L89" s="609" t="str">
        <f t="shared" si="12"/>
        <v/>
      </c>
      <c r="M89" s="115" t="str">
        <f t="shared" si="13"/>
        <v/>
      </c>
      <c r="N89" s="115" t="str">
        <f t="shared" si="14"/>
        <v/>
      </c>
      <c r="O89" s="115" t="str">
        <f t="shared" si="15"/>
        <v/>
      </c>
    </row>
    <row r="90" spans="1:21" x14ac:dyDescent="0.25">
      <c r="B90">
        <v>16</v>
      </c>
      <c r="C90" s="184" t="str">
        <f>IF($B$2=16,R48*$I$1+AI48*(1-$I$1),"")</f>
        <v/>
      </c>
      <c r="D90" s="184" t="str">
        <f>IF($B$2=16,R49*$I$1+AI49*(1-$I$1),"")</f>
        <v/>
      </c>
      <c r="E90" s="184" t="str">
        <f>IF($B$2=16,R50*$I$1+AI50*(1-$I$1),"")</f>
        <v/>
      </c>
      <c r="F90" s="184" t="str">
        <f>IF($B$2=16,R51*$I$1+AI51*(1-$I$1),"")</f>
        <v/>
      </c>
      <c r="G90" s="184" t="str">
        <f>IF($B$2=16,R52*$I$1+AI52*(1-$I$1),"")</f>
        <v/>
      </c>
      <c r="H90" s="184" t="str">
        <f>IF($B$2=16,R53*$I$1+AI53*(1-$I$1),"")</f>
        <v/>
      </c>
      <c r="I90" s="184" t="str">
        <f>IF($B$2=16,R54*$I$1+AI54*(1-$I$1),"")</f>
        <v/>
      </c>
      <c r="J90" s="184" t="str">
        <f>IF($B$2=16,R55*$I$1+AI55*(1-$I$1),"")</f>
        <v/>
      </c>
      <c r="K90"/>
      <c r="L90" s="610" t="str">
        <f t="shared" si="12"/>
        <v/>
      </c>
      <c r="M90" s="116" t="str">
        <f t="shared" si="13"/>
        <v/>
      </c>
      <c r="N90" s="116" t="str">
        <f t="shared" si="14"/>
        <v/>
      </c>
      <c r="O90" s="116" t="str">
        <f t="shared" si="15"/>
        <v/>
      </c>
    </row>
    <row r="91" spans="1:21" x14ac:dyDescent="0.25">
      <c r="B91" s="118" t="s">
        <v>40</v>
      </c>
      <c r="C91" s="24">
        <f>SUM(C76:C90)</f>
        <v>0</v>
      </c>
      <c r="D91" s="24">
        <f t="shared" ref="D91:J91" si="16">SUM(D76:D90)</f>
        <v>1.1515370786162769E-2</v>
      </c>
      <c r="E91" s="24">
        <f>SUM(E76:E90)</f>
        <v>0</v>
      </c>
      <c r="F91" s="24">
        <f>SUM(F76:F90)</f>
        <v>1.2885535230905751E-2</v>
      </c>
      <c r="G91" s="24">
        <f t="shared" si="16"/>
        <v>0</v>
      </c>
      <c r="H91" s="24">
        <f t="shared" si="16"/>
        <v>1.6024993876378398E-2</v>
      </c>
      <c r="I91" s="24">
        <f t="shared" si="16"/>
        <v>0</v>
      </c>
      <c r="J91" s="24">
        <f t="shared" si="16"/>
        <v>1.8673666993787773E-2</v>
      </c>
      <c r="K91"/>
      <c r="L91" t="s">
        <v>242</v>
      </c>
      <c r="M91" t="s">
        <v>243</v>
      </c>
      <c r="N91" t="s">
        <v>244</v>
      </c>
      <c r="O91" t="s">
        <v>245</v>
      </c>
    </row>
    <row r="92" spans="1:21" x14ac:dyDescent="0.25">
      <c r="K92"/>
      <c r="L92"/>
      <c r="O92" s="85"/>
    </row>
    <row r="93" spans="1:21" x14ac:dyDescent="0.25">
      <c r="K93"/>
      <c r="L93"/>
      <c r="M93" s="7"/>
      <c r="N93" s="7"/>
    </row>
    <row r="94" spans="1:21" x14ac:dyDescent="0.25">
      <c r="O94" s="7"/>
    </row>
    <row r="95" spans="1:21" x14ac:dyDescent="0.25">
      <c r="B95" s="25"/>
      <c r="C95" s="7"/>
      <c r="D95" s="82"/>
      <c r="E95" s="25"/>
      <c r="F95" s="25"/>
      <c r="G95" s="25"/>
      <c r="H95" s="25"/>
      <c r="I95" s="25"/>
      <c r="J95" s="25"/>
      <c r="K95" s="25"/>
      <c r="L95" s="25"/>
      <c r="O95" s="7"/>
    </row>
    <row r="96" spans="1:21" ht="18.75" x14ac:dyDescent="0.3">
      <c r="A96" s="90" t="s">
        <v>142</v>
      </c>
      <c r="B96" s="25"/>
      <c r="C96" s="25"/>
      <c r="D96" s="25"/>
      <c r="E96" s="25"/>
      <c r="F96" s="82"/>
      <c r="G96" s="25"/>
      <c r="H96" s="25"/>
      <c r="I96" s="25"/>
      <c r="J96" s="25"/>
      <c r="K96" s="25"/>
      <c r="L96" s="25"/>
      <c r="M96" s="7"/>
      <c r="N96" s="7"/>
      <c r="O96" s="7"/>
      <c r="P96" s="7"/>
      <c r="Q96" s="7"/>
      <c r="R96" s="7" t="s">
        <v>42</v>
      </c>
      <c r="S96" s="7"/>
      <c r="U96" s="7"/>
    </row>
    <row r="97" spans="1:35" ht="18.75" x14ac:dyDescent="0.3">
      <c r="A97" s="1"/>
      <c r="D97" s="89">
        <v>2</v>
      </c>
      <c r="E97" s="28">
        <v>3</v>
      </c>
      <c r="F97" s="28">
        <v>4</v>
      </c>
      <c r="G97" s="28">
        <v>5</v>
      </c>
      <c r="H97" s="28">
        <v>6</v>
      </c>
      <c r="I97" s="28">
        <v>7</v>
      </c>
      <c r="J97" s="28">
        <v>8</v>
      </c>
      <c r="K97" s="28">
        <v>9</v>
      </c>
      <c r="L97" s="28">
        <v>10</v>
      </c>
      <c r="M97" s="28">
        <v>11</v>
      </c>
      <c r="N97" s="28">
        <v>12</v>
      </c>
      <c r="O97" s="28">
        <v>13</v>
      </c>
      <c r="P97" s="28">
        <v>14</v>
      </c>
      <c r="Q97" s="28">
        <v>15</v>
      </c>
      <c r="R97" s="28">
        <v>16</v>
      </c>
      <c r="S97" s="7"/>
      <c r="U97" s="89">
        <v>2</v>
      </c>
      <c r="V97" s="28">
        <v>3</v>
      </c>
      <c r="W97" s="28">
        <v>4</v>
      </c>
      <c r="X97" s="28">
        <v>5</v>
      </c>
      <c r="Y97" s="28">
        <v>6</v>
      </c>
      <c r="Z97" s="28">
        <v>7</v>
      </c>
      <c r="AA97" s="28">
        <v>8</v>
      </c>
      <c r="AB97" s="28">
        <v>9</v>
      </c>
      <c r="AC97" s="28">
        <v>10</v>
      </c>
      <c r="AD97" s="28">
        <v>11</v>
      </c>
      <c r="AE97" s="28">
        <v>12</v>
      </c>
      <c r="AF97" s="28">
        <v>13</v>
      </c>
      <c r="AG97" s="28">
        <v>14</v>
      </c>
      <c r="AH97" s="28">
        <v>15</v>
      </c>
      <c r="AI97" s="28">
        <v>16</v>
      </c>
    </row>
    <row r="98" spans="1:35" x14ac:dyDescent="0.25">
      <c r="A98" s="9" t="s">
        <v>27</v>
      </c>
      <c r="B98" s="25" t="s">
        <v>38</v>
      </c>
      <c r="C98" s="25"/>
      <c r="D98" s="12">
        <f t="array" ref="D98:D99">MMULT(MINVERSE(MMULT(MMULT(TRANSPOSE(C27:D28),C103:D104),C27:D28)),MMULT(MMULT(TRANSPOSE(C27:D28),C103:D104),A27:A28))</f>
        <v>-5.5511151231257827E-17</v>
      </c>
      <c r="E98" s="12">
        <f t="array" ref="E98:E99">MMULT(MINVERSE(MMULT(MMULT(TRANSPOSE(C27:D29),C103:E105),C27:D29)),MMULT(MMULT(TRANSPOSE(C27:D29),C103:E105),A27:A29))</f>
        <v>5.654547895925971E-2</v>
      </c>
      <c r="F98" s="60">
        <f t="array" ref="F98:F99">MMULT(MINVERSE(MMULT(MMULT(TRANSPOSE(C27:D30),C103:F106),C27:D30)),MMULT(MMULT(TRANSPOSE(C27:D30),C103:F106),A27:A30))</f>
        <v>7.0769983489977206E-2</v>
      </c>
      <c r="G98" s="12">
        <f t="array" ref="G98:G99">MMULT(MINVERSE(MMULT(MMULT(TRANSPOSE(C27:D31),C103:G107),C27:D31)),MMULT(MMULT(TRANSPOSE(C27:D31),C103:G107),A27:A31))</f>
        <v>6.4813157729501913E-2</v>
      </c>
      <c r="H98" s="12">
        <f t="array" ref="H98:H99">MMULT(MINVERSE(MMULT(MMULT(TRANSPOSE(C27:D32),C103:H108),C27:D32)),MMULT(MMULT(TRANSPOSE(C27:D32),C103:H108),A27:A32))</f>
        <v>6.1707986462923192E-2</v>
      </c>
      <c r="I98" s="12">
        <f t="array" ref="I98:I99">MMULT(MINVERSE(MMULT(MMULT(TRANSPOSE(C27:D33),C103:I109),C27:D33)),MMULT(MMULT(TRANSPOSE(C27:D33),C103:I109),A27:A33))</f>
        <v>9.7199074151022913E-2</v>
      </c>
      <c r="J98" s="12" t="e">
        <f t="array" ref="J98:J99">MMULT(MINVERSE(MMULT(MMULT(TRANSPOSE(C27:D34),C103:J110),C27:D34)),MMULT(MMULT(TRANSPOSE(C27:D34),C103:J110),A27:A34))</f>
        <v>#VALUE!</v>
      </c>
      <c r="K98" s="12" t="e">
        <f t="array" ref="K98:K99">MMULT(MINVERSE(MMULT(MMULT(TRANSPOSE(C27:D35),C103:K111),C27:D35)),MMULT(MMULT(TRANSPOSE(C27:D35),C103:K111),A27:A35))</f>
        <v>#VALUE!</v>
      </c>
      <c r="L98" s="12" t="e">
        <f t="array" ref="L98:L99">MMULT(MINVERSE(MMULT(MMULT(TRANSPOSE($C$27:$D$36),$C$103:$L$112),$C$27:$D$36)),MMULT(MMULT(TRANSPOSE($C$27:$D$36),$C$103:$L$112),$A$27:$A$36))</f>
        <v>#VALUE!</v>
      </c>
      <c r="M98" s="12" t="e">
        <f t="array" ref="M98:M99">MMULT(MINVERSE(MMULT(MMULT(TRANSPOSE($C$27:$D$37),$C$103:$M$113),$C$27:$D$37)),MMULT(MMULT(TRANSPOSE($C$27:$D$37),$C$103:$M$113),$A$27:$A$37))</f>
        <v>#VALUE!</v>
      </c>
      <c r="N98" s="12" t="e">
        <f t="array" ref="N98:N99">MMULT(MINVERSE(MMULT(MMULT(TRANSPOSE($C$27:$D$38),$C$103:$N$114),$C$27:$D$38)),MMULT(MMULT(TRANSPOSE($C$27:$D$38),$C$103:$N$114),$A$27:$A$38))</f>
        <v>#VALUE!</v>
      </c>
      <c r="O98" s="12" t="e">
        <f t="array" ref="O98:O99">MMULT(MINVERSE(MMULT(MMULT(TRANSPOSE($C$27:$D$39),$C$103:$O$115),$C$27:$D$39)),MMULT(MMULT(TRANSPOSE($C$27:$D$39),$C$103:$O$115),$A$27:$A$39))</f>
        <v>#VALUE!</v>
      </c>
      <c r="P98" s="12" t="e">
        <f t="array" ref="P98:P99">MMULT(MINVERSE(MMULT(MMULT(TRANSPOSE($C$27:$D$40),$C$103:$P$116),$C$27:$D$40)),MMULT(MMULT(TRANSPOSE($C$27:$D$40),$C$103:$P$116),$A$27:$A$40))</f>
        <v>#VALUE!</v>
      </c>
      <c r="Q98" s="12" t="e">
        <f t="array" ref="Q98:Q99">MMULT(MINVERSE(MMULT(MMULT(TRANSPOSE($C$27:$D$41),$C$103:$Q$117),$C$27:$D$41)),MMULT(MMULT(TRANSPOSE($C$27:$D$41),$C$103:$Q$117),$A$27:$A$41))</f>
        <v>#VALUE!</v>
      </c>
      <c r="R98" s="12" t="e">
        <f t="array" ref="R98:R99">MMULT(MINVERSE(MMULT(MMULT(TRANSPOSE($C$27:$D$42),$C$103:$R$118),$C$27:$D$42)),MMULT(MMULT(TRANSPOSE($C$27:$D$42),$C$103:$R$118),$A$27:$A$42))</f>
        <v>#VALUE!</v>
      </c>
      <c r="S98" s="7"/>
      <c r="U98" s="7">
        <v>0</v>
      </c>
      <c r="V98" s="7">
        <v>0</v>
      </c>
      <c r="W98" s="7">
        <v>0</v>
      </c>
      <c r="X98" s="7">
        <v>0</v>
      </c>
      <c r="Y98" s="7">
        <v>0</v>
      </c>
      <c r="Z98" s="7">
        <v>0</v>
      </c>
      <c r="AA98" s="7">
        <v>0</v>
      </c>
      <c r="AB98" s="7">
        <v>0</v>
      </c>
      <c r="AC98" s="7">
        <v>0</v>
      </c>
      <c r="AD98" s="7">
        <v>0</v>
      </c>
      <c r="AE98" s="7">
        <v>0</v>
      </c>
      <c r="AF98" s="7">
        <v>0</v>
      </c>
      <c r="AG98" s="7">
        <v>0</v>
      </c>
      <c r="AH98" s="7">
        <v>0</v>
      </c>
      <c r="AI98" s="7">
        <v>0</v>
      </c>
    </row>
    <row r="99" spans="1:35" x14ac:dyDescent="0.25">
      <c r="A99" s="9"/>
      <c r="B99" s="25" t="s">
        <v>39</v>
      </c>
      <c r="C99" s="25"/>
      <c r="D99" s="12">
        <v>2.7159691000130784E-2</v>
      </c>
      <c r="E99" s="12">
        <v>1.4294067887988836E-2</v>
      </c>
      <c r="F99" s="60">
        <v>1.2037955129191782E-2</v>
      </c>
      <c r="G99" s="12">
        <v>1.2749388030474689E-2</v>
      </c>
      <c r="H99" s="12">
        <v>1.3047570146890577E-2</v>
      </c>
      <c r="I99" s="12">
        <v>1.0447888260671938E-2</v>
      </c>
      <c r="J99" s="12" t="e">
        <v>#VALUE!</v>
      </c>
      <c r="K99" s="12" t="e">
        <v>#VALUE!</v>
      </c>
      <c r="L99" s="12" t="e">
        <v>#VALUE!</v>
      </c>
      <c r="M99" s="12" t="e">
        <v>#VALUE!</v>
      </c>
      <c r="N99" s="12" t="e">
        <v>#VALUE!</v>
      </c>
      <c r="O99" s="12" t="e">
        <v>#VALUE!</v>
      </c>
      <c r="P99" s="12" t="e">
        <v>#VALUE!</v>
      </c>
      <c r="Q99" s="12" t="e">
        <v>#VALUE!</v>
      </c>
      <c r="R99" s="12" t="e">
        <v>#VALUE!</v>
      </c>
      <c r="S99" s="7"/>
      <c r="U99" s="25">
        <f t="array" ref="U99">MMULT(MINVERSE(MMULT(MMULT(TRANSPOSE(D27:D28),C103:D104),D27:D28)),MMULT(MMULT(TRANSPOSE(D27:D28),C103:D104),A27:A28))</f>
        <v>2.7159691000130777E-2</v>
      </c>
      <c r="V99" s="25">
        <f t="array" ref="V99">MMULT(MINVERSE(MMULT(MMULT(TRANSPOSE(D27:D29),C103:E105),D27:D29)),MMULT(MMULT(TRANSPOSE(D27:D29),C103:E105),A27:A29))</f>
        <v>1.7717297334478809E-2</v>
      </c>
      <c r="W99" s="25">
        <f t="array" ref="W99">MMULT(MINVERSE(MMULT(MMULT(TRANSPOSE(D27:D30),C103:F106),D27:D30)),MMULT(MMULT(TRANSPOSE(D27:D30),C103:F106),A27:A30))</f>
        <v>1.5099991110059297E-2</v>
      </c>
      <c r="X99" s="25">
        <f t="array" ref="X99">MMULT(MINVERSE(MMULT(MMULT(TRANSPOSE(D27:D31),C103:G107),D27:D31)),MMULT(MMULT(TRANSPOSE(D27:D31),C103:G107),A27:A31))</f>
        <v>1.4961274953333308E-2</v>
      </c>
      <c r="Y99" s="25">
        <f t="array" ref="Y99">MMULT(MINVERSE(MMULT(MMULT(TRANSPOSE(D27:D32),C103:H108),D27:D32)),MMULT(MMULT(TRANSPOSE(D27:D32),C103:H108),A27:A32))</f>
        <v>1.4927115473252034E-2</v>
      </c>
      <c r="Z99" s="25">
        <f t="array" ref="Z99">MMULT(MINVERSE(MMULT(MMULT(TRANSPOSE(D27:D33),C103:I109),D27:D33)),MMULT(MMULT(TRANSPOSE(D27:D33),C103:I109),A27:A33))</f>
        <v>1.2417098255952984E-2</v>
      </c>
      <c r="AA99" s="25" t="e">
        <f t="array" ref="AA99">MMULT(MINVERSE(MMULT(MMULT(TRANSPOSE(D27:D34),C103:J110),D27:D34)),MMULT(MMULT(TRANSPOSE(D27:D34),C103:J110),A27:A34))</f>
        <v>#VALUE!</v>
      </c>
      <c r="AB99" s="25" t="e">
        <f t="array" ref="AB99">MMULT(MINVERSE(MMULT(MMULT(TRANSPOSE(D27:D35),C103:K111),D27:D35)),MMULT(MMULT(TRANSPOSE(D27:D35),C103:K111),A27:A35))</f>
        <v>#VALUE!</v>
      </c>
      <c r="AC99" s="25" t="e">
        <f t="array" ref="AC99">MMULT(MINVERSE(MMULT(MMULT(TRANSPOSE($D$27:$D$36),$C$103:$L$112),$D$27:$D$36)),MMULT(MMULT(TRANSPOSE($D$27:$D$36),$C$103:$L$112),$A$27:$A$36))</f>
        <v>#VALUE!</v>
      </c>
      <c r="AD99" s="25" t="e">
        <f t="array" ref="AD99">MMULT(MINVERSE(MMULT(MMULT(TRANSPOSE($D$27:$D$37),$C$103:$M$113),$D$27:$D$37)),MMULT(MMULT(TRANSPOSE($D$27:$D$37),$C$103:$M$113),$A$27:$A$37))</f>
        <v>#VALUE!</v>
      </c>
      <c r="AE99" s="25" t="e">
        <f t="array" ref="AE99">MMULT(MINVERSE(MMULT(MMULT(TRANSPOSE($D$27:$D$38),$C$103:$N$114),$D$27:$D$38)),MMULT(MMULT(TRANSPOSE($D$27:$D$38),$C$103:$N$114),$A$27:$A$38))</f>
        <v>#VALUE!</v>
      </c>
      <c r="AF99" s="25" t="e">
        <f t="array" ref="AF99">MMULT(MINVERSE(MMULT(MMULT(TRANSPOSE($D$27:$D$39),$C$103:$O$115),$D$27:$D$39)),MMULT(MMULT(TRANSPOSE($D$27:$D$39),$C$103:$O$115),$A$27:$A$39))</f>
        <v>#VALUE!</v>
      </c>
      <c r="AG99" s="25" t="e">
        <f t="array" ref="AG99">MMULT(MINVERSE(MMULT(MMULT(TRANSPOSE($D$27:$D$40),$C$103:$P$116),$D$27:$D$40)),MMULT(MMULT(TRANSPOSE($D$27:$D$40),$C$103:$P$116),$A$27:$A$40))</f>
        <v>#VALUE!</v>
      </c>
      <c r="AH99" s="25" t="e">
        <f t="array" ref="AH99">MMULT(MINVERSE(MMULT(MMULT(TRANSPOSE($D$27:$D$41),$C$103:$Q$117),$D$27:$D$41)),MMULT(MMULT(TRANSPOSE($D$27:$D$41),$C$103:$Q$117),$A$27:$A$41))</f>
        <v>#VALUE!</v>
      </c>
      <c r="AI99" s="25" t="e">
        <f t="array" ref="AI99">MMULT(MINVERSE(MMULT(MMULT(TRANSPOSE($D$27:$D$42),$C$103:$R$118),$D$27:$D$42)),MMULT(MMULT(TRANSPOSE($D$27:$D$42),$C$103:$R$118),$A$27:$A$42))</f>
        <v>#VALUE!</v>
      </c>
    </row>
    <row r="100" spans="1:35" x14ac:dyDescent="0.25">
      <c r="A100" s="9" t="s">
        <v>28</v>
      </c>
      <c r="B100" s="25" t="s">
        <v>38</v>
      </c>
      <c r="C100" s="25"/>
      <c r="D100" s="25">
        <f t="array" ref="D100:D101">MMULT(MINVERSE(MMULT(MMULT(TRANSPOSE(C27:D28),C103:D104),C27:D28)),MMULT(MMULT(TRANSPOSE(C27:D28),C103:D104),B27:B28))</f>
        <v>-1.1102230246251565E-16</v>
      </c>
      <c r="E100" s="25">
        <f t="array" ref="E100:E101">MMULT(MINVERSE(MMULT(MMULT(TRANSPOSE(C27:D29),C103:E105),C27:D29)),MMULT(MMULT(TRANSPOSE(C27:D29),C103:E105),B27:B29))</f>
        <v>6.9862901067196947E-2</v>
      </c>
      <c r="F100" s="82">
        <f t="array" ref="F100:F101">MMULT(MINVERSE(MMULT(MMULT(TRANSPOSE(C27:D30),C103:F106),C27:D30)),MMULT(MMULT(TRANSPOSE(C27:D30),C103:F106),B27:B30))</f>
        <v>9.5667311557413814E-2</v>
      </c>
      <c r="G100" s="25">
        <f t="array" ref="G100:G101">MMULT(MINVERSE(MMULT(MMULT(TRANSPOSE(C27:D31),C103:G107),C27:D31)),MMULT(MMULT(TRANSPOSE(C27:D31),C103:G107),B27:B31))</f>
        <v>8.960144144701998E-2</v>
      </c>
      <c r="H100" s="25">
        <f t="array" ref="H100:H101">MMULT(MINVERSE(MMULT(MMULT(TRANSPOSE(C27:D32),C103:H108),C27:D32)),MMULT(MMULT(TRANSPOSE(C27:D32),C103:H108),B27:B32))</f>
        <v>8.7732588410147971E-2</v>
      </c>
      <c r="I100" s="25">
        <f t="array" ref="I100:I101">MMULT(MINVERSE(MMULT(MMULT(TRANSPOSE(C27:D33),C103:I109),C27:D33)),MMULT(MMULT(TRANSPOSE(C27:D33),C103:I109),B27:B33))</f>
        <v>0.14628530485251034</v>
      </c>
      <c r="J100" s="25" t="e">
        <f t="array" ref="J100:J101">MMULT(MINVERSE(MMULT(MMULT(TRANSPOSE(C27:D34),C103:J110),C27:D34)),MMULT(MMULT(TRANSPOSE(C27:D34),C103:J110),B27:B34))</f>
        <v>#VALUE!</v>
      </c>
      <c r="K100" s="25" t="e">
        <f t="array" ref="K100:K101">MMULT(MINVERSE(MMULT(MMULT(TRANSPOSE(C27:D35),C103:K111),C27:D35)),MMULT(MMULT(TRANSPOSE(C27:D35),C103:K111),B27:B35))</f>
        <v>#VALUE!</v>
      </c>
      <c r="L100" s="25" t="e">
        <f t="array" ref="L100:L101">MMULT(MINVERSE(MMULT(MMULT(TRANSPOSE($C$27:$D$36),$C$103:$L$112),$C$27:$D$36)),MMULT(MMULT(TRANSPOSE($C$27:$D$36),$C$103:$L$112),$B$27:$B$36))</f>
        <v>#VALUE!</v>
      </c>
      <c r="M100" s="25" t="e">
        <f t="array" ref="M100:M101">MMULT(MINVERSE(MMULT(MMULT(TRANSPOSE($C$27:$D$37),$C$103:$M$113),$C$27:$D$37)),MMULT(MMULT(TRANSPOSE($C$27:$D$37),$C$103:$M$113),$B$27:$B$37))</f>
        <v>#VALUE!</v>
      </c>
      <c r="N100" s="25" t="e">
        <f t="array" ref="N100:N101">MMULT(MINVERSE(MMULT(MMULT(TRANSPOSE($C$27:$D$38),$C$103:$N$114),$C$27:$D$38)),MMULT(MMULT(TRANSPOSE($C$27:$D$38),$C$103:$N$114),$B$27:$B$38))</f>
        <v>#VALUE!</v>
      </c>
      <c r="O100" s="25" t="e">
        <f t="array" ref="O100:O101">MMULT(MINVERSE(MMULT(MMULT(TRANSPOSE($C$27:$D$39),$C$103:$O$115),$C$27:$D$39)),MMULT(MMULT(TRANSPOSE($C$27:$D$39),$C$103:$O$115),$B$27:$B$39))</f>
        <v>#VALUE!</v>
      </c>
      <c r="P100" s="25" t="e">
        <f t="array" ref="P100:P101">MMULT(MINVERSE(MMULT(MMULT(TRANSPOSE($C$27:$D$40),$C$103:$P$116),$C$27:$D$40)),MMULT(MMULT(TRANSPOSE($C$27:$D$40),$C$103:$P$116),$B$27:$B$40))</f>
        <v>#VALUE!</v>
      </c>
      <c r="Q100" s="25" t="e">
        <f t="array" ref="Q100:Q101">MMULT(MINVERSE(MMULT(MMULT(TRANSPOSE($C$27:$D$41),$C$103:$Q$117),$C$27:$D$41)),MMULT(MMULT(TRANSPOSE($C$27:$D$41),$C$103:$Q$117),$B$27:$B$41))</f>
        <v>#VALUE!</v>
      </c>
      <c r="R100" s="25" t="e">
        <f t="array" ref="R100:R101">MMULT(MINVERSE(MMULT(MMULT(TRANSPOSE($C$27:$D$42),$C$103:$R$118),$C$27:$D$42)),MMULT(MMULT(TRANSPOSE($C$27:$D$42),$C$103:$R$118),$B$27:$B$42))</f>
        <v>#VALUE!</v>
      </c>
      <c r="S100" s="7"/>
      <c r="U100" s="7">
        <v>0</v>
      </c>
      <c r="V100" s="7">
        <v>0</v>
      </c>
      <c r="W100" s="7">
        <v>0</v>
      </c>
      <c r="X100" s="7">
        <v>0</v>
      </c>
      <c r="Y100" s="7">
        <v>0</v>
      </c>
      <c r="Z100" s="7">
        <v>0</v>
      </c>
      <c r="AA100" s="7">
        <v>0</v>
      </c>
      <c r="AB100" s="7">
        <v>0</v>
      </c>
      <c r="AC100" s="7">
        <v>0</v>
      </c>
      <c r="AD100" s="7">
        <v>0</v>
      </c>
      <c r="AE100" s="7">
        <v>0</v>
      </c>
      <c r="AF100" s="7">
        <v>0</v>
      </c>
      <c r="AG100" s="7">
        <v>0</v>
      </c>
      <c r="AH100" s="7">
        <v>0</v>
      </c>
      <c r="AI100" s="7">
        <v>0</v>
      </c>
    </row>
    <row r="101" spans="1:35" x14ac:dyDescent="0.25">
      <c r="B101" s="25" t="s">
        <v>39</v>
      </c>
      <c r="D101" s="25">
        <v>3.9083462734669894E-2</v>
      </c>
      <c r="E101" s="25">
        <v>2.3187766541186226E-2</v>
      </c>
      <c r="F101" s="25">
        <v>1.9094994127602669E-2</v>
      </c>
      <c r="G101" s="25">
        <v>1.981945036402254E-2</v>
      </c>
      <c r="H101" s="25">
        <v>1.9998911819112838E-2</v>
      </c>
      <c r="I101" s="25">
        <v>1.5709991804549701E-2</v>
      </c>
      <c r="J101" s="25" t="e">
        <v>#VALUE!</v>
      </c>
      <c r="K101" s="25" t="e">
        <v>#VALUE!</v>
      </c>
      <c r="L101" s="25" t="e">
        <v>#VALUE!</v>
      </c>
      <c r="M101" s="25" t="e">
        <v>#VALUE!</v>
      </c>
      <c r="N101" s="25" t="e">
        <v>#VALUE!</v>
      </c>
      <c r="O101" s="25" t="e">
        <v>#VALUE!</v>
      </c>
      <c r="P101" s="25" t="e">
        <v>#VALUE!</v>
      </c>
      <c r="Q101" s="25" t="e">
        <v>#VALUE!</v>
      </c>
      <c r="R101" s="25" t="e">
        <v>#VALUE!</v>
      </c>
      <c r="U101" s="25">
        <f t="array" ref="U101">MMULT(MINVERSE(MMULT(MMULT(TRANSPOSE(D27:D28),C103:D104),D27:D28)),MMULT(MMULT(TRANSPOSE(D27:D28),C103:D104),B27:B28))</f>
        <v>3.9083462734669887E-2</v>
      </c>
      <c r="V101" s="25">
        <f t="array" ref="V101">MMULT(MINVERSE(MMULT(MMULT(TRANSPOSE(D27:D29),C103:E105),D27:D29)),MMULT(MMULT(TRANSPOSE(D27:D29),C103:E105),B27:B29))</f>
        <v>2.7417224749909746E-2</v>
      </c>
      <c r="W101" s="25">
        <f t="array" ref="W101">MMULT(MINVERSE(MMULT(MMULT(TRANSPOSE(D27:D30),C103:F106),D27:D30)),MMULT(MMULT(TRANSPOSE(D27:D30),C103:F106),B27:B30))</f>
        <v>2.3234273744972528E-2</v>
      </c>
      <c r="X101" s="25">
        <f t="array" ref="X101">MMULT(MINVERSE(MMULT(MMULT(TRANSPOSE(D27:D31),C103:G107),D27:D31)),MMULT(MMULT(TRANSPOSE(D27:D31),C103:G107),B27:B31))</f>
        <v>2.2877290215508952E-2</v>
      </c>
      <c r="Y101" s="25">
        <f t="array" ref="Y101">MMULT(MINVERSE(MMULT(MMULT(TRANSPOSE(D27:D32),C103:H108),D27:D32)),MMULT(MMULT(TRANSPOSE(D27:D32),C103:H108),B27:B32))</f>
        <v>2.2671132806504221E-2</v>
      </c>
      <c r="Z101" s="25">
        <f t="array" ref="Z101">MMULT(MINVERSE(MMULT(MMULT(TRANSPOSE(D27:D33),C103:I109),D27:D33)),MMULT(MMULT(TRANSPOSE(D27:D33),C103:I109),B27:B33))</f>
        <v>1.8673666993787776E-2</v>
      </c>
      <c r="AA101" s="25" t="e">
        <f t="array" ref="AA101">MMULT(MINVERSE(MMULT(MMULT(TRANSPOSE(D27:D34),C103:J110),D27:D34)),MMULT(MMULT(TRANSPOSE(D27:D34),C103:J110),B27:B34))</f>
        <v>#VALUE!</v>
      </c>
      <c r="AB101" s="25" t="e">
        <f t="array" ref="AB101">MMULT(MINVERSE(MMULT(MMULT(TRANSPOSE(D27:D35),C103:K111),D27:D35)),MMULT(MMULT(TRANSPOSE(D27:D35),C103:K111),B27:B35))</f>
        <v>#VALUE!</v>
      </c>
      <c r="AC101" s="25" t="e">
        <f t="array" ref="AC101">MMULT(MINVERSE(MMULT(MMULT(TRANSPOSE($D$27:$D$36),$C$103:$L$112),$D$27:$D$36)),MMULT(MMULT(TRANSPOSE($D$27:$D$36),$C$103:$L$112),$B$27:$B$36))</f>
        <v>#VALUE!</v>
      </c>
      <c r="AD101" s="25" t="e">
        <f t="array" ref="AD101">MMULT(MINVERSE(MMULT(MMULT(TRANSPOSE($D$27:$D$37),$C$103:$M$113),$D$27:$D$37)),MMULT(MMULT(TRANSPOSE($D$27:$D$37),$C$103:$M$113),$B$27:$B$37))</f>
        <v>#VALUE!</v>
      </c>
      <c r="AE101" s="25" t="e">
        <f t="array" ref="AE101">MMULT(MINVERSE(MMULT(MMULT(TRANSPOSE($D$27:$D$38),$C$103:$N$114),$D$27:$D$38)),MMULT(MMULT(TRANSPOSE($D$27:$D$38),$C$103:$N$114),$B$27:$B$38))</f>
        <v>#VALUE!</v>
      </c>
      <c r="AF101" s="25" t="e">
        <f t="array" ref="AF101">MMULT(MINVERSE(MMULT(MMULT(TRANSPOSE($D$27:$D$39),$C$103:$O$115),$D$27:$D$39)),MMULT(MMULT(TRANSPOSE($D$27:$D$39),$C$103:$O$115),$B$27:$B$39))</f>
        <v>#VALUE!</v>
      </c>
      <c r="AG101" s="25" t="e">
        <f t="array" ref="AG101">MMULT(MINVERSE(MMULT(MMULT(TRANSPOSE($D$27:$D$40),$C$103:$P$116),$D$27:$D$40)),MMULT(MMULT(TRANSPOSE($D$27:$D$40),$C$103:$P$116),$B$27:$B$40))</f>
        <v>#VALUE!</v>
      </c>
      <c r="AH101" s="25" t="e">
        <f t="array" ref="AH101">MMULT(MINVERSE(MMULT(MMULT(TRANSPOSE($D$27:$D$41),$C$103:$Q$117),$D$27:$D$41)),MMULT(MMULT(TRANSPOSE($D$27:$D$41),$C$103:$Q$117),$B$27:$B$41))</f>
        <v>#VALUE!</v>
      </c>
      <c r="AI101" s="25" t="e">
        <f t="array" ref="AI101">MMULT(MINVERSE(MMULT(MMULT(TRANSPOSE($D$27:$D$42),$C$103:$R$118),$D$27:$D$42)),MMULT(MMULT(TRANSPOSE($D$27:$D$42),$C$103:$R$118),$B$27:$B$42))</f>
        <v>#VALUE!</v>
      </c>
    </row>
    <row r="102" spans="1:35" x14ac:dyDescent="0.25">
      <c r="A102" s="7" t="s">
        <v>104</v>
      </c>
      <c r="B102" s="7" t="s">
        <v>104</v>
      </c>
      <c r="C102" s="51"/>
      <c r="I102" s="7"/>
      <c r="J102" s="7"/>
      <c r="K102"/>
      <c r="L102"/>
    </row>
    <row r="103" spans="1:35" x14ac:dyDescent="0.25">
      <c r="A103" s="13"/>
      <c r="B103" s="52">
        <f>IF( $A$119=16,1*(IndrctAdj!C79&lt;&gt;""),IF(IndrctAdj!D79&lt;=0,0,IndrctAdj!D79))</f>
        <v>250</v>
      </c>
      <c r="C103" s="178">
        <f>B103</f>
        <v>250</v>
      </c>
      <c r="D103" s="53">
        <v>0</v>
      </c>
      <c r="E103" s="53">
        <v>0</v>
      </c>
      <c r="F103" s="53">
        <v>0</v>
      </c>
      <c r="G103" s="53">
        <v>0</v>
      </c>
      <c r="H103" s="53">
        <v>0</v>
      </c>
      <c r="I103" s="53">
        <v>0</v>
      </c>
      <c r="J103" s="53">
        <v>0</v>
      </c>
      <c r="K103" s="53">
        <v>0</v>
      </c>
      <c r="L103" s="53">
        <v>0</v>
      </c>
      <c r="M103" s="166">
        <v>0</v>
      </c>
      <c r="N103" s="166">
        <v>0</v>
      </c>
      <c r="O103" s="166">
        <v>0</v>
      </c>
      <c r="P103" s="166">
        <v>0</v>
      </c>
      <c r="Q103" s="166">
        <v>0</v>
      </c>
      <c r="R103" s="167">
        <v>0</v>
      </c>
    </row>
    <row r="104" spans="1:35" x14ac:dyDescent="0.25">
      <c r="A104" s="14"/>
      <c r="B104" s="175">
        <f>IF( $A$119=16,1*(IndrctAdj!C80&lt;&gt;""),IF(IndrctAdj!D80&lt;=0,0,IndrctAdj!D80))</f>
        <v>678.59253852182269</v>
      </c>
      <c r="C104" s="54">
        <v>0</v>
      </c>
      <c r="D104" s="178">
        <f>B104</f>
        <v>678.59253852182269</v>
      </c>
      <c r="E104" s="55">
        <v>0</v>
      </c>
      <c r="F104" s="55">
        <v>0</v>
      </c>
      <c r="G104" s="55">
        <v>0</v>
      </c>
      <c r="H104" s="55">
        <v>0</v>
      </c>
      <c r="I104" s="55">
        <v>0</v>
      </c>
      <c r="J104" s="55">
        <v>0</v>
      </c>
      <c r="K104" s="55">
        <v>0</v>
      </c>
      <c r="L104" s="55">
        <v>0</v>
      </c>
      <c r="M104" s="55">
        <v>0</v>
      </c>
      <c r="N104" s="55">
        <v>0</v>
      </c>
      <c r="O104" s="55">
        <v>0</v>
      </c>
      <c r="P104" s="55">
        <v>0</v>
      </c>
      <c r="Q104" s="55">
        <v>0</v>
      </c>
      <c r="R104" s="56">
        <v>0</v>
      </c>
    </row>
    <row r="105" spans="1:35" x14ac:dyDescent="0.25">
      <c r="A105" s="14"/>
      <c r="B105" s="175">
        <f>IF( $A$119=16,1*(IndrctAdj!C81&lt;&gt;""),IF(IndrctAdj!D81&lt;=0,0,IndrctAdj!D81))</f>
        <v>269.8590076390488</v>
      </c>
      <c r="C105" s="54">
        <v>0</v>
      </c>
      <c r="D105" s="55">
        <v>0</v>
      </c>
      <c r="E105" s="178">
        <f>B105</f>
        <v>269.8590076390488</v>
      </c>
      <c r="F105" s="55">
        <v>0</v>
      </c>
      <c r="G105" s="55">
        <v>0</v>
      </c>
      <c r="H105" s="55">
        <v>0</v>
      </c>
      <c r="I105" s="55">
        <v>0</v>
      </c>
      <c r="J105" s="55">
        <v>0</v>
      </c>
      <c r="K105" s="55">
        <v>0</v>
      </c>
      <c r="L105" s="55">
        <v>0</v>
      </c>
      <c r="M105" s="55">
        <v>0</v>
      </c>
      <c r="N105" s="55">
        <v>0</v>
      </c>
      <c r="O105" s="55">
        <v>0</v>
      </c>
      <c r="P105" s="55">
        <v>0</v>
      </c>
      <c r="Q105" s="55">
        <v>0</v>
      </c>
      <c r="R105" s="56">
        <v>0</v>
      </c>
    </row>
    <row r="106" spans="1:35" x14ac:dyDescent="0.25">
      <c r="A106" s="14"/>
      <c r="B106" s="175">
        <f>IF( $A$119=16,1*(IndrctAdj!C82&lt;&gt;""),IF(IndrctAdj!D82&lt;=0,0,IndrctAdj!D82))</f>
        <v>204.84423461094022</v>
      </c>
      <c r="C106" s="54">
        <v>0</v>
      </c>
      <c r="D106" s="55">
        <v>0</v>
      </c>
      <c r="E106" s="55">
        <v>0</v>
      </c>
      <c r="F106" s="178">
        <f>B106</f>
        <v>204.84423461094022</v>
      </c>
      <c r="G106" s="55">
        <v>0</v>
      </c>
      <c r="H106" s="55">
        <v>0</v>
      </c>
      <c r="I106" s="55">
        <v>0</v>
      </c>
      <c r="J106" s="55">
        <v>0</v>
      </c>
      <c r="K106" s="55">
        <v>0</v>
      </c>
      <c r="L106" s="55">
        <v>0</v>
      </c>
      <c r="M106" s="55">
        <v>0</v>
      </c>
      <c r="N106" s="55">
        <v>0</v>
      </c>
      <c r="O106" s="55">
        <v>0</v>
      </c>
      <c r="P106" s="55">
        <v>0</v>
      </c>
      <c r="Q106" s="55">
        <v>0</v>
      </c>
      <c r="R106" s="56">
        <v>0</v>
      </c>
    </row>
    <row r="107" spans="1:35" x14ac:dyDescent="0.25">
      <c r="A107" s="14"/>
      <c r="B107" s="175">
        <f>IF( $A$119=16,1*(IndrctAdj!C83&lt;&gt;""),IF(IndrctAdj!D83&lt;=0,0,IndrctAdj!D83))</f>
        <v>174.89185122952264</v>
      </c>
      <c r="C107" s="54">
        <v>0</v>
      </c>
      <c r="D107" s="55">
        <v>0</v>
      </c>
      <c r="E107" s="55">
        <v>0</v>
      </c>
      <c r="F107" s="55">
        <v>0</v>
      </c>
      <c r="G107" s="178">
        <f>B107</f>
        <v>174.89185122952264</v>
      </c>
      <c r="H107" s="55">
        <v>0</v>
      </c>
      <c r="I107" s="55">
        <v>0</v>
      </c>
      <c r="J107" s="55">
        <v>0</v>
      </c>
      <c r="K107" s="55">
        <v>0</v>
      </c>
      <c r="L107" s="55">
        <v>0</v>
      </c>
      <c r="M107" s="55">
        <v>0</v>
      </c>
      <c r="N107" s="55">
        <v>0</v>
      </c>
      <c r="O107" s="55">
        <v>0</v>
      </c>
      <c r="P107" s="55">
        <v>0</v>
      </c>
      <c r="Q107" s="55">
        <v>0</v>
      </c>
      <c r="R107" s="56">
        <v>0</v>
      </c>
    </row>
    <row r="108" spans="1:35" x14ac:dyDescent="0.25">
      <c r="A108" s="14"/>
      <c r="B108" s="175">
        <f>IF( $A$119=16,1*(IndrctAdj!C84&lt;&gt;""),IF(IndrctAdj!D84&lt;=0,0,IndrctAdj!D84))</f>
        <v>80.342980609274747</v>
      </c>
      <c r="C108" s="54">
        <v>0</v>
      </c>
      <c r="D108" s="55">
        <v>0</v>
      </c>
      <c r="E108" s="55">
        <v>0</v>
      </c>
      <c r="F108" s="55">
        <v>0</v>
      </c>
      <c r="G108" s="55">
        <v>0</v>
      </c>
      <c r="H108" s="178">
        <f>B108</f>
        <v>80.342980609274747</v>
      </c>
      <c r="I108" s="55">
        <v>0</v>
      </c>
      <c r="J108" s="55">
        <v>0</v>
      </c>
      <c r="K108" s="55">
        <v>0</v>
      </c>
      <c r="L108" s="55">
        <v>0</v>
      </c>
      <c r="M108" s="55">
        <v>0</v>
      </c>
      <c r="N108" s="55">
        <v>0</v>
      </c>
      <c r="O108" s="55">
        <v>0</v>
      </c>
      <c r="P108" s="55">
        <v>0</v>
      </c>
      <c r="Q108" s="55">
        <v>0</v>
      </c>
      <c r="R108" s="56">
        <v>0</v>
      </c>
    </row>
    <row r="109" spans="1:35" x14ac:dyDescent="0.25">
      <c r="A109" s="14"/>
      <c r="B109" s="175">
        <f>IF( $A$119=16,1*(IndrctAdj!C85&lt;&gt;""),IF(IndrctAdj!D85&lt;=0,0,IndrctAdj!D85))</f>
        <v>192.45506233444695</v>
      </c>
      <c r="C109" s="54">
        <v>0</v>
      </c>
      <c r="D109" s="55">
        <v>0</v>
      </c>
      <c r="E109" s="55">
        <v>0</v>
      </c>
      <c r="F109" s="55">
        <v>0</v>
      </c>
      <c r="G109" s="55">
        <v>0</v>
      </c>
      <c r="H109" s="55">
        <v>0</v>
      </c>
      <c r="I109" s="178">
        <f>B109</f>
        <v>192.45506233444695</v>
      </c>
      <c r="J109" s="55">
        <v>0</v>
      </c>
      <c r="K109" s="55">
        <v>0</v>
      </c>
      <c r="L109" s="55">
        <v>0</v>
      </c>
      <c r="M109" s="55">
        <v>0</v>
      </c>
      <c r="N109" s="55">
        <v>0</v>
      </c>
      <c r="O109" s="55">
        <v>0</v>
      </c>
      <c r="P109" s="55">
        <v>0</v>
      </c>
      <c r="Q109" s="55">
        <v>0</v>
      </c>
      <c r="R109" s="56">
        <v>0</v>
      </c>
    </row>
    <row r="110" spans="1:35" x14ac:dyDescent="0.25">
      <c r="A110" s="14"/>
      <c r="B110" s="175">
        <f>IF( $A$119=16,1*(IndrctAdj!C86&lt;&gt;""),IF(IndrctAdj!D86&lt;=0,0,IndrctAdj!D86))</f>
        <v>0</v>
      </c>
      <c r="C110" s="54">
        <v>0</v>
      </c>
      <c r="D110" s="55">
        <v>0</v>
      </c>
      <c r="E110" s="55">
        <v>0</v>
      </c>
      <c r="F110" s="55">
        <v>0</v>
      </c>
      <c r="G110" s="55">
        <v>0</v>
      </c>
      <c r="H110" s="55">
        <v>0</v>
      </c>
      <c r="I110" s="55">
        <v>0</v>
      </c>
      <c r="J110" s="178">
        <f>B110</f>
        <v>0</v>
      </c>
      <c r="K110" s="55">
        <v>0</v>
      </c>
      <c r="L110" s="55">
        <v>0</v>
      </c>
      <c r="M110" s="55">
        <v>0</v>
      </c>
      <c r="N110" s="55">
        <v>0</v>
      </c>
      <c r="O110" s="55">
        <v>0</v>
      </c>
      <c r="P110" s="55">
        <v>0</v>
      </c>
      <c r="Q110" s="55">
        <v>0</v>
      </c>
      <c r="R110" s="56">
        <v>0</v>
      </c>
      <c r="U110" s="85"/>
    </row>
    <row r="111" spans="1:35" x14ac:dyDescent="0.25">
      <c r="A111" s="14"/>
      <c r="B111" s="175">
        <f>IF( $A$119=16,1*(IndrctAdj!C87&lt;&gt;""),IF(IndrctAdj!D87&lt;=0,0,IndrctAdj!D87))</f>
        <v>0</v>
      </c>
      <c r="C111" s="54">
        <v>0</v>
      </c>
      <c r="D111" s="55">
        <v>0</v>
      </c>
      <c r="E111" s="55">
        <v>0</v>
      </c>
      <c r="F111" s="55">
        <v>0</v>
      </c>
      <c r="G111" s="55">
        <v>0</v>
      </c>
      <c r="H111" s="55">
        <v>0</v>
      </c>
      <c r="I111" s="55">
        <v>0</v>
      </c>
      <c r="J111" s="55">
        <v>0</v>
      </c>
      <c r="K111" s="178">
        <f>B111</f>
        <v>0</v>
      </c>
      <c r="L111" s="55">
        <v>0</v>
      </c>
      <c r="M111" s="55">
        <v>0</v>
      </c>
      <c r="N111" s="55">
        <v>0</v>
      </c>
      <c r="O111" s="55">
        <v>0</v>
      </c>
      <c r="P111" s="55">
        <v>0</v>
      </c>
      <c r="Q111" s="55">
        <v>0</v>
      </c>
      <c r="R111" s="56">
        <v>0</v>
      </c>
      <c r="U111" s="85"/>
    </row>
    <row r="112" spans="1:35" x14ac:dyDescent="0.25">
      <c r="A112" s="14"/>
      <c r="B112" s="175">
        <f>IF( $A$119=16,1*(IndrctAdj!C88&lt;&gt;""),IF(IndrctAdj!D88&lt;=0,0,IndrctAdj!D88))</f>
        <v>0</v>
      </c>
      <c r="C112" s="54">
        <v>0</v>
      </c>
      <c r="D112" s="55">
        <v>0</v>
      </c>
      <c r="E112" s="55">
        <v>0</v>
      </c>
      <c r="F112" s="55">
        <v>0</v>
      </c>
      <c r="G112" s="55">
        <v>0</v>
      </c>
      <c r="H112" s="55">
        <v>0</v>
      </c>
      <c r="I112" s="55">
        <v>0</v>
      </c>
      <c r="J112" s="55">
        <v>0</v>
      </c>
      <c r="K112" s="55">
        <v>0</v>
      </c>
      <c r="L112" s="178">
        <f>B112</f>
        <v>0</v>
      </c>
      <c r="M112" s="55">
        <v>0</v>
      </c>
      <c r="N112" s="55">
        <v>0</v>
      </c>
      <c r="O112" s="55">
        <v>0</v>
      </c>
      <c r="P112" s="55">
        <v>0</v>
      </c>
      <c r="Q112" s="55">
        <v>0</v>
      </c>
      <c r="R112" s="56">
        <v>0</v>
      </c>
    </row>
    <row r="113" spans="1:18" x14ac:dyDescent="0.25">
      <c r="A113" s="14"/>
      <c r="B113" s="175">
        <f>IF( $A$119=16,1*(IndrctAdj!C89&lt;&gt;""),IF(IndrctAdj!D89&lt;=0,0,IndrctAdj!D89))</f>
        <v>0</v>
      </c>
      <c r="C113" s="54">
        <v>0</v>
      </c>
      <c r="D113" s="55">
        <v>0</v>
      </c>
      <c r="E113" s="55">
        <v>0</v>
      </c>
      <c r="F113" s="55">
        <v>0</v>
      </c>
      <c r="G113" s="55">
        <v>0</v>
      </c>
      <c r="H113" s="55">
        <v>0</v>
      </c>
      <c r="I113" s="55">
        <v>0</v>
      </c>
      <c r="J113" s="55">
        <v>0</v>
      </c>
      <c r="K113" s="55">
        <v>0</v>
      </c>
      <c r="L113" s="55">
        <v>0</v>
      </c>
      <c r="M113" s="178">
        <f>B113</f>
        <v>0</v>
      </c>
      <c r="N113" s="55">
        <v>0</v>
      </c>
      <c r="O113" s="55">
        <v>0</v>
      </c>
      <c r="P113" s="55">
        <v>0</v>
      </c>
      <c r="Q113" s="55">
        <v>0</v>
      </c>
      <c r="R113" s="56">
        <v>0</v>
      </c>
    </row>
    <row r="114" spans="1:18" x14ac:dyDescent="0.25">
      <c r="A114" s="14"/>
      <c r="B114" s="175">
        <f>IF( $A$119=16,1*(IndrctAdj!C90&lt;&gt;""),IF(IndrctAdj!D90&lt;=0,0,IndrctAdj!D90))</f>
        <v>0</v>
      </c>
      <c r="C114" s="54">
        <v>0</v>
      </c>
      <c r="D114" s="55">
        <v>0</v>
      </c>
      <c r="E114" s="55">
        <v>0</v>
      </c>
      <c r="F114" s="55">
        <v>0</v>
      </c>
      <c r="G114" s="55">
        <v>0</v>
      </c>
      <c r="H114" s="55">
        <v>0</v>
      </c>
      <c r="I114" s="55">
        <v>0</v>
      </c>
      <c r="J114" s="55">
        <v>0</v>
      </c>
      <c r="K114" s="55">
        <v>0</v>
      </c>
      <c r="L114" s="55">
        <v>0</v>
      </c>
      <c r="M114" s="55">
        <v>0</v>
      </c>
      <c r="N114" s="178">
        <f>B114</f>
        <v>0</v>
      </c>
      <c r="O114" s="55">
        <v>0</v>
      </c>
      <c r="P114" s="55">
        <v>0</v>
      </c>
      <c r="Q114" s="55">
        <v>0</v>
      </c>
      <c r="R114" s="56">
        <v>0</v>
      </c>
    </row>
    <row r="115" spans="1:18" x14ac:dyDescent="0.25">
      <c r="A115" s="14"/>
      <c r="B115" s="175">
        <f>IF( $A$119=16,1*(IndrctAdj!C91&lt;&gt;""),IF(IndrctAdj!D91&lt;=0,0,IndrctAdj!D91))</f>
        <v>0</v>
      </c>
      <c r="C115" s="54">
        <v>0</v>
      </c>
      <c r="D115" s="55">
        <v>0</v>
      </c>
      <c r="E115" s="55">
        <v>0</v>
      </c>
      <c r="F115" s="55">
        <v>0</v>
      </c>
      <c r="G115" s="55">
        <v>0</v>
      </c>
      <c r="H115" s="55">
        <v>0</v>
      </c>
      <c r="I115" s="55">
        <v>0</v>
      </c>
      <c r="J115" s="55">
        <v>0</v>
      </c>
      <c r="K115" s="55">
        <v>0</v>
      </c>
      <c r="L115" s="55">
        <v>0</v>
      </c>
      <c r="M115" s="55">
        <v>0</v>
      </c>
      <c r="N115" s="55">
        <v>0</v>
      </c>
      <c r="O115" s="178">
        <f>B115</f>
        <v>0</v>
      </c>
      <c r="P115" s="55">
        <v>0</v>
      </c>
      <c r="Q115" s="55">
        <v>0</v>
      </c>
      <c r="R115" s="56">
        <v>0</v>
      </c>
    </row>
    <row r="116" spans="1:18" x14ac:dyDescent="0.25">
      <c r="A116" s="14"/>
      <c r="B116" s="175">
        <f>IF( $A$119=16,1*(IndrctAdj!C92&lt;&gt;""),IF(IndrctAdj!D92&lt;=0,0,IndrctAdj!D92))</f>
        <v>0</v>
      </c>
      <c r="C116" s="54">
        <v>0</v>
      </c>
      <c r="D116" s="55">
        <v>0</v>
      </c>
      <c r="E116" s="55">
        <v>0</v>
      </c>
      <c r="F116" s="55">
        <v>0</v>
      </c>
      <c r="G116" s="55">
        <v>0</v>
      </c>
      <c r="H116" s="55">
        <v>0</v>
      </c>
      <c r="I116" s="55">
        <v>0</v>
      </c>
      <c r="J116" s="55">
        <v>0</v>
      </c>
      <c r="K116" s="55">
        <v>0</v>
      </c>
      <c r="L116" s="55">
        <v>0</v>
      </c>
      <c r="M116" s="55">
        <v>0</v>
      </c>
      <c r="N116" s="55">
        <v>0</v>
      </c>
      <c r="O116" s="55">
        <v>0</v>
      </c>
      <c r="P116" s="178">
        <f>B116</f>
        <v>0</v>
      </c>
      <c r="Q116" s="55">
        <v>0</v>
      </c>
      <c r="R116" s="56">
        <v>0</v>
      </c>
    </row>
    <row r="117" spans="1:18" x14ac:dyDescent="0.25">
      <c r="A117" s="14"/>
      <c r="B117" s="175">
        <f>IF( $A$119=16,1*(IndrctAdj!C93&lt;&gt;""),IF(IndrctAdj!D93&lt;=0,0,IndrctAdj!D93))</f>
        <v>0</v>
      </c>
      <c r="C117" s="54">
        <v>0</v>
      </c>
      <c r="D117" s="55">
        <v>0</v>
      </c>
      <c r="E117" s="55">
        <v>0</v>
      </c>
      <c r="F117" s="55">
        <v>0</v>
      </c>
      <c r="G117" s="55">
        <v>0</v>
      </c>
      <c r="H117" s="55">
        <v>0</v>
      </c>
      <c r="I117" s="55">
        <v>0</v>
      </c>
      <c r="J117" s="55">
        <v>0</v>
      </c>
      <c r="K117" s="55">
        <v>0</v>
      </c>
      <c r="L117" s="55">
        <v>0</v>
      </c>
      <c r="M117" s="55">
        <v>0</v>
      </c>
      <c r="N117" s="55">
        <v>0</v>
      </c>
      <c r="O117" s="55">
        <v>0</v>
      </c>
      <c r="P117" s="55">
        <v>0</v>
      </c>
      <c r="Q117" s="178">
        <f>B117</f>
        <v>0</v>
      </c>
      <c r="R117" s="56">
        <v>0</v>
      </c>
    </row>
    <row r="118" spans="1:18" x14ac:dyDescent="0.25">
      <c r="A118" s="15"/>
      <c r="B118" s="176">
        <f>IF( $A$119=16,1*(IndrctAdj!C94&lt;&gt;""),IF(IndrctAdj!D94&lt;=0,0,IndrctAdj!D94))</f>
        <v>0</v>
      </c>
      <c r="C118" s="57">
        <v>0</v>
      </c>
      <c r="D118" s="58">
        <v>0</v>
      </c>
      <c r="E118" s="58">
        <v>0</v>
      </c>
      <c r="F118" s="58">
        <v>0</v>
      </c>
      <c r="G118" s="58">
        <v>0</v>
      </c>
      <c r="H118" s="58">
        <v>0</v>
      </c>
      <c r="I118" s="58">
        <v>0</v>
      </c>
      <c r="J118" s="58">
        <v>0</v>
      </c>
      <c r="K118" s="58">
        <v>0</v>
      </c>
      <c r="L118" s="58">
        <v>0</v>
      </c>
      <c r="M118" s="58">
        <v>0</v>
      </c>
      <c r="N118" s="58">
        <v>0</v>
      </c>
      <c r="O118" s="58">
        <v>0</v>
      </c>
      <c r="P118" s="58">
        <v>0</v>
      </c>
      <c r="Q118" s="58">
        <v>0</v>
      </c>
      <c r="R118" s="178">
        <f>B118</f>
        <v>0</v>
      </c>
    </row>
    <row r="119" spans="1:18" x14ac:dyDescent="0.25">
      <c r="A119" s="722">
        <f>COUNTBLANK(IndrctAdj!D79:'IndrctAdj'!D94)</f>
        <v>9</v>
      </c>
      <c r="E119" s="7"/>
      <c r="F119" s="7"/>
      <c r="K119"/>
      <c r="L119"/>
    </row>
    <row r="120" spans="1:18" ht="15.75" x14ac:dyDescent="0.25">
      <c r="B120" s="81"/>
      <c r="C120" s="956" t="s">
        <v>62</v>
      </c>
      <c r="D120" s="957"/>
      <c r="E120" s="957"/>
      <c r="F120" s="958"/>
      <c r="K120"/>
      <c r="L120"/>
      <c r="N120" s="964" t="s">
        <v>246</v>
      </c>
      <c r="O120" s="965"/>
    </row>
    <row r="121" spans="1:18" ht="15.75" x14ac:dyDescent="0.25">
      <c r="C121" s="2" t="s">
        <v>43</v>
      </c>
      <c r="D121" s="88" t="s">
        <v>27</v>
      </c>
      <c r="E121" s="88" t="s">
        <v>43</v>
      </c>
      <c r="F121" s="3" t="s">
        <v>28</v>
      </c>
      <c r="G121" s="7"/>
      <c r="K121"/>
      <c r="L121"/>
      <c r="N121" s="611" t="s">
        <v>19</v>
      </c>
      <c r="O121" s="611" t="s">
        <v>15</v>
      </c>
    </row>
    <row r="122" spans="1:18" x14ac:dyDescent="0.25">
      <c r="B122">
        <v>2</v>
      </c>
      <c r="C122" s="16" t="str">
        <f>IF($B$24=2, D98*$I$24+U98*(1-$I$24),"")</f>
        <v/>
      </c>
      <c r="D122" s="16" t="str">
        <f>IF($B$24=2, D99*$I$24+U99*(1-$I$24),"")</f>
        <v/>
      </c>
      <c r="E122" s="16" t="str">
        <f>IF($B$24=2, D100*$I$24+U100*(1-$I$24),"")</f>
        <v/>
      </c>
      <c r="F122" s="16" t="str">
        <f>IF($B$24=2, D101*$I$24+U101*(1-$I$24),"")</f>
        <v/>
      </c>
      <c r="K122"/>
      <c r="L122"/>
      <c r="N122" s="114">
        <f t="shared" ref="N122:N136" si="17">IF(D5="","", $C$137+$D$137*D5)</f>
        <v>0</v>
      </c>
      <c r="O122" s="114">
        <f t="shared" ref="O122:O136" si="18">IF(D5="","", $E$137+$F$137*D5)</f>
        <v>0</v>
      </c>
    </row>
    <row r="123" spans="1:18" x14ac:dyDescent="0.25">
      <c r="B123">
        <v>3</v>
      </c>
      <c r="C123" s="17" t="str">
        <f>IF($B$24=3, E98*$I$24+V98*(1-$I$24),"")</f>
        <v/>
      </c>
      <c r="D123" s="17" t="str">
        <f>IF($B$24=3, E99*$I$24+V99*(1-$I$24),"")</f>
        <v/>
      </c>
      <c r="E123" s="17" t="str">
        <f>IF($B$24=3, E100*$I$24+V100*(1-$I$24),"")</f>
        <v/>
      </c>
      <c r="F123" s="17" t="str">
        <f>IF($B$24=3, E101*$I$24+V101*(1-$I$24),"")</f>
        <v/>
      </c>
      <c r="K123"/>
      <c r="L123"/>
      <c r="N123" s="115">
        <f t="shared" si="17"/>
        <v>8.2603876950849309E-2</v>
      </c>
      <c r="O123" s="115">
        <f t="shared" si="18"/>
        <v>0.12422526251948361</v>
      </c>
    </row>
    <row r="124" spans="1:18" x14ac:dyDescent="0.25">
      <c r="B124">
        <v>4</v>
      </c>
      <c r="C124" s="17" t="str">
        <f>IF($B$24=4, F98*$I$24+W98*(1-$I$24),"")</f>
        <v/>
      </c>
      <c r="D124" s="17" t="str">
        <f>IF($B$24=4, F99*$I$24+W99*(1-$I$24),"")</f>
        <v/>
      </c>
      <c r="E124" s="17" t="str">
        <f>IF($B$24=4, F100*$I$24+W100*(1-$I$24),"")</f>
        <v/>
      </c>
      <c r="F124" s="17" t="str">
        <f>IF($B$24=4, F101*$I$24+W101*(1-$I$24),"")</f>
        <v/>
      </c>
      <c r="K124"/>
      <c r="L124"/>
      <c r="N124" s="115">
        <f t="shared" si="17"/>
        <v>0.29219418931978325</v>
      </c>
      <c r="O124" s="115">
        <f t="shared" si="18"/>
        <v>0.43942126223101646</v>
      </c>
    </row>
    <row r="125" spans="1:18" x14ac:dyDescent="0.25">
      <c r="B125">
        <v>5</v>
      </c>
      <c r="C125" s="17" t="str">
        <f>IF($B$24=5, G98*$I$24+X98*(1-$I$24),"")</f>
        <v/>
      </c>
      <c r="D125" s="17" t="str">
        <f>IF($B$24=5, G99*$I$24+X99*(1-$I$24),"")</f>
        <v/>
      </c>
      <c r="E125" s="17" t="str">
        <f>IF($B$24=5, G100*$I$24+X100*(1-$I$24),"")</f>
        <v/>
      </c>
      <c r="F125" s="17" t="str">
        <f>IF($B$24=5, G101*$I$24+X101*(1-$I$24),"")</f>
        <v/>
      </c>
      <c r="K125"/>
      <c r="L125"/>
      <c r="N125" s="115">
        <f t="shared" si="17"/>
        <v>0.41646202524570952</v>
      </c>
      <c r="O125" s="115">
        <f t="shared" si="18"/>
        <v>0.62630358677144571</v>
      </c>
    </row>
    <row r="126" spans="1:18" x14ac:dyDescent="0.25">
      <c r="B126">
        <v>6</v>
      </c>
      <c r="C126" s="17" t="str">
        <f>IF($B$24=6, H98*$I$24+Y98*(1-$I$24),"")</f>
        <v/>
      </c>
      <c r="D126" s="17" t="str">
        <f>IF($B$24=6, H99*$I$24+Y99*(1-$I$24),"")</f>
        <v/>
      </c>
      <c r="E126" s="17" t="str">
        <f>IF($B$24=6, H100*$I$24+Y100*(1-$I$24),"")</f>
        <v/>
      </c>
      <c r="F126" s="17" t="str">
        <f>IF($B$24=6, H101*$I$24+Y101*(1-$I$24),"")</f>
        <v/>
      </c>
      <c r="K126"/>
      <c r="L126"/>
      <c r="N126" s="115">
        <f t="shared" si="17"/>
        <v>0.54231179948944419</v>
      </c>
      <c r="O126" s="115">
        <f t="shared" si="18"/>
        <v>0.81556493648688355</v>
      </c>
    </row>
    <row r="127" spans="1:18" x14ac:dyDescent="0.25">
      <c r="B127">
        <v>7</v>
      </c>
      <c r="C127" s="17">
        <f>IF($B$24=7, I98*$I$24+Z98*(1-$I$24),"")</f>
        <v>0</v>
      </c>
      <c r="D127" s="17">
        <f>IF($B$24=7, I99*$I$24+Z99*(1-$I$24),"")</f>
        <v>1.2417098255952984E-2</v>
      </c>
      <c r="E127" s="17">
        <f>IF($B$24=7, I100*$I$24+Z100*(1-$I$24),"")</f>
        <v>0</v>
      </c>
      <c r="F127" s="17">
        <f>IF($B$24=7, I101*$I$24+Z101*(1-$I$24),"")</f>
        <v>1.8673666993787776E-2</v>
      </c>
      <c r="K127"/>
      <c r="L127"/>
      <c r="N127" s="115">
        <f t="shared" si="17"/>
        <v>0.66577997428768709</v>
      </c>
      <c r="O127" s="115">
        <f t="shared" si="18"/>
        <v>1.0012446768729131</v>
      </c>
    </row>
    <row r="128" spans="1:18" x14ac:dyDescent="0.25">
      <c r="B128">
        <v>8</v>
      </c>
      <c r="C128" s="17" t="str">
        <f>IF($B$24=8, J98*$I$24+AA98*(1-$I$24),"")</f>
        <v/>
      </c>
      <c r="D128" s="17" t="str">
        <f>IF($B$24=8, J99*$I$24+AA99*(1-$I$24),"")</f>
        <v/>
      </c>
      <c r="E128" s="17" t="str">
        <f>IF($B$24=8, J100*$I$24+AA100*(1-$I$24),"")</f>
        <v/>
      </c>
      <c r="F128" s="17" t="str">
        <f>IF($B$24=8, J101*$I$24+AA101*(1-$I$24),"")</f>
        <v/>
      </c>
      <c r="K128"/>
      <c r="L128"/>
      <c r="N128" s="115">
        <f t="shared" si="17"/>
        <v>1.0042539305172327</v>
      </c>
      <c r="O128" s="115">
        <f t="shared" si="18"/>
        <v>1.5102645633564757</v>
      </c>
    </row>
    <row r="129" spans="1:15" x14ac:dyDescent="0.25">
      <c r="B129">
        <v>9</v>
      </c>
      <c r="C129" s="17" t="str">
        <f>IF($B$24=9, K98*$I$24+AB98*(1-$I$24),"")</f>
        <v/>
      </c>
      <c r="D129" s="17" t="str">
        <f>IF($B$24=9, K99*$I$24+AB99*(1-$I$24),"")</f>
        <v/>
      </c>
      <c r="E129" s="17" t="str">
        <f>IF($B$24=9, K100*$I$24+AB100*(1-$I$24),"")</f>
        <v/>
      </c>
      <c r="F129" s="17" t="str">
        <f>IF($B$24=9, K101*$I$24+AB101*(1-$I$24),"")</f>
        <v/>
      </c>
      <c r="K129"/>
      <c r="L129"/>
      <c r="N129" s="115" t="str">
        <f t="shared" si="17"/>
        <v/>
      </c>
      <c r="O129" s="115" t="str">
        <f t="shared" si="18"/>
        <v/>
      </c>
    </row>
    <row r="130" spans="1:15" x14ac:dyDescent="0.25">
      <c r="B130">
        <v>10</v>
      </c>
      <c r="C130" s="17" t="str">
        <f>IF($B$24=10,L98*$I$24+AC98*(1-$I$24),"")</f>
        <v/>
      </c>
      <c r="D130" s="17" t="str">
        <f>IF($B$24=10,L99*$I$24+AC99*(1-$I$24),"")</f>
        <v/>
      </c>
      <c r="E130" s="17" t="str">
        <f>IF($B$24=10,L100*$I$24+AC100*(1-$I$24),"")</f>
        <v/>
      </c>
      <c r="F130" s="17" t="str">
        <f>IF($B$24=10,L101*$I$24+AC101*(1-$I$24),"")</f>
        <v/>
      </c>
      <c r="K130"/>
      <c r="L130"/>
      <c r="N130" s="115" t="str">
        <f t="shared" si="17"/>
        <v/>
      </c>
      <c r="O130" s="115" t="str">
        <f t="shared" si="18"/>
        <v/>
      </c>
    </row>
    <row r="131" spans="1:15" x14ac:dyDescent="0.25">
      <c r="B131">
        <v>11</v>
      </c>
      <c r="C131" s="183" t="str">
        <f>IF($B$24=11,M98*$I$24+AD98*(1-$I$24),"")</f>
        <v/>
      </c>
      <c r="D131" s="183" t="str">
        <f>IF($B$24=11,M99*$I$24+AD99*(1-$I$24),"")</f>
        <v/>
      </c>
      <c r="E131" s="183" t="str">
        <f>IF($B$24=11,M100*$I$24+AD100*(1-$I$24),"")</f>
        <v/>
      </c>
      <c r="F131" s="183" t="str">
        <f>IF($B$24=11,M101*$I$24+AD101*(1-$I$24),"")</f>
        <v/>
      </c>
      <c r="K131"/>
      <c r="L131"/>
      <c r="N131" s="115" t="str">
        <f t="shared" si="17"/>
        <v/>
      </c>
      <c r="O131" s="115" t="str">
        <f t="shared" si="18"/>
        <v/>
      </c>
    </row>
    <row r="132" spans="1:15" x14ac:dyDescent="0.25">
      <c r="B132">
        <v>12</v>
      </c>
      <c r="C132" s="183" t="str">
        <f>IF($B$24=12,N98*$I$24+AE98*(1-$I$24),"")</f>
        <v/>
      </c>
      <c r="D132" s="183" t="str">
        <f>IF($B$24=12,N99*$I$24+AE99*(1-$I$24),"")</f>
        <v/>
      </c>
      <c r="E132" s="183" t="str">
        <f>IF($B$24=12,N100*$I$24+AE100*(1-$I$24),"")</f>
        <v/>
      </c>
      <c r="F132" s="183" t="str">
        <f>IF($B$24=12,N101*$I$24+AE101*(1-$I$24),"")</f>
        <v/>
      </c>
      <c r="K132"/>
      <c r="L132"/>
      <c r="N132" s="115" t="str">
        <f t="shared" si="17"/>
        <v/>
      </c>
      <c r="O132" s="115" t="str">
        <f t="shared" si="18"/>
        <v/>
      </c>
    </row>
    <row r="133" spans="1:15" x14ac:dyDescent="0.25">
      <c r="B133">
        <v>13</v>
      </c>
      <c r="C133" s="183" t="str">
        <f>IF($B$24=13,O98*$I$24+AF98*(1-$I$24),"")</f>
        <v/>
      </c>
      <c r="D133" s="183" t="str">
        <f>IF($B$24=13,O99*$I$24+AF99*(1-$I$24),"")</f>
        <v/>
      </c>
      <c r="E133" s="183" t="str">
        <f>IF($B$24=13,O100*$I$24+AF100*(1-$I$24),"")</f>
        <v/>
      </c>
      <c r="F133" s="183" t="str">
        <f>IF($B$24=13,O101*$I$24+AF101*(1-$I$24),"")</f>
        <v/>
      </c>
      <c r="K133"/>
      <c r="L133"/>
      <c r="N133" s="115" t="str">
        <f t="shared" si="17"/>
        <v/>
      </c>
      <c r="O133" s="115" t="str">
        <f t="shared" si="18"/>
        <v/>
      </c>
    </row>
    <row r="134" spans="1:15" x14ac:dyDescent="0.25">
      <c r="B134">
        <v>14</v>
      </c>
      <c r="C134" s="183" t="str">
        <f>IF($B$24=14,P98*$I$24+AG98*(1-$I$24),"")</f>
        <v/>
      </c>
      <c r="D134" s="183" t="str">
        <f>IF($B$24=14,P99*$I$24+AG99*(1-$I$24),"")</f>
        <v/>
      </c>
      <c r="E134" s="183" t="str">
        <f>IF($B$24=14,P100*$I$24+AG100*(1-$I$24),"")</f>
        <v/>
      </c>
      <c r="F134" s="183" t="str">
        <f>IF($B$24=14,P101*$I$24+AG101*(1-$I$24),"")</f>
        <v/>
      </c>
      <c r="K134"/>
      <c r="L134"/>
      <c r="N134" s="115" t="str">
        <f t="shared" si="17"/>
        <v/>
      </c>
      <c r="O134" s="115" t="str">
        <f t="shared" si="18"/>
        <v/>
      </c>
    </row>
    <row r="135" spans="1:15" x14ac:dyDescent="0.25">
      <c r="B135">
        <v>15</v>
      </c>
      <c r="C135" s="183" t="str">
        <f>IF($B$24=15,Q98*$I$24+AH98*(1-$I$24),"")</f>
        <v/>
      </c>
      <c r="D135" s="183" t="str">
        <f>IF($B$24=15,Q99*$I$24+AH99*(1-$I$24),"")</f>
        <v/>
      </c>
      <c r="E135" s="183" t="str">
        <f>IF($B$24=15,Q100*$I$24+AH100*(1-$I$24),"")</f>
        <v/>
      </c>
      <c r="F135" s="183" t="str">
        <f>IF($B$24=15,Q101*$I$24+AH101*(1-$I$24),"")</f>
        <v/>
      </c>
      <c r="K135"/>
      <c r="L135"/>
      <c r="N135" s="115" t="str">
        <f t="shared" si="17"/>
        <v/>
      </c>
      <c r="O135" s="115" t="str">
        <f t="shared" si="18"/>
        <v/>
      </c>
    </row>
    <row r="136" spans="1:15" x14ac:dyDescent="0.25">
      <c r="B136">
        <v>16</v>
      </c>
      <c r="C136" s="184" t="str">
        <f>IF($B$24=16,R98*$I$24+AI98*(1-$I$24),"")</f>
        <v/>
      </c>
      <c r="D136" s="184" t="str">
        <f>IF($B$24=16,R99*$I$24+AI99*(1-$I$24),"")</f>
        <v/>
      </c>
      <c r="E136" s="184" t="str">
        <f>IF($B$24=16,R100*$I$24+AI100*(1-$I$24),"")</f>
        <v/>
      </c>
      <c r="F136" s="184" t="str">
        <f>IF($B$24=16,R101*$I$24+AI101*(1-$I$24),"")</f>
        <v/>
      </c>
      <c r="K136"/>
      <c r="L136"/>
      <c r="N136" s="116" t="str">
        <f t="shared" si="17"/>
        <v/>
      </c>
      <c r="O136" s="116" t="str">
        <f t="shared" si="18"/>
        <v/>
      </c>
    </row>
    <row r="137" spans="1:15" x14ac:dyDescent="0.25">
      <c r="B137" s="118" t="s">
        <v>40</v>
      </c>
      <c r="C137" s="24">
        <f>SUM(C122:C136)</f>
        <v>0</v>
      </c>
      <c r="D137" s="24">
        <f t="shared" ref="D137:F137" si="19">SUM(D122:D136)</f>
        <v>1.2417098255952984E-2</v>
      </c>
      <c r="E137" s="24">
        <f t="shared" si="19"/>
        <v>0</v>
      </c>
      <c r="F137" s="24">
        <f t="shared" si="19"/>
        <v>1.8673666993787776E-2</v>
      </c>
      <c r="K137"/>
      <c r="L137"/>
      <c r="N137" t="s">
        <v>244</v>
      </c>
      <c r="O137" t="s">
        <v>245</v>
      </c>
    </row>
    <row r="138" spans="1:15" x14ac:dyDescent="0.25">
      <c r="K138"/>
      <c r="L138"/>
    </row>
    <row r="139" spans="1:15" x14ac:dyDescent="0.25">
      <c r="G139" s="7"/>
      <c r="H139" s="7"/>
      <c r="K139"/>
      <c r="L139"/>
    </row>
    <row r="140" spans="1:15" ht="18.75" x14ac:dyDescent="0.3">
      <c r="A140" s="961" t="s">
        <v>79</v>
      </c>
      <c r="B140" s="961"/>
      <c r="C140" s="961"/>
      <c r="D140" s="961"/>
      <c r="E140" s="961"/>
    </row>
    <row r="141" spans="1:15" x14ac:dyDescent="0.25">
      <c r="A141" s="62"/>
      <c r="B141" s="62"/>
      <c r="C141" s="62"/>
      <c r="D141" s="62"/>
      <c r="E141" s="62"/>
      <c r="F141" s="62"/>
      <c r="G141" s="62"/>
    </row>
    <row r="142" spans="1:15" ht="15.75" x14ac:dyDescent="0.25">
      <c r="A142" s="955" t="s">
        <v>64</v>
      </c>
      <c r="B142" s="955"/>
      <c r="C142" s="955"/>
      <c r="D142" s="955"/>
      <c r="E142" s="955"/>
      <c r="F142" s="94"/>
      <c r="G142" s="95" t="s">
        <v>65</v>
      </c>
    </row>
    <row r="143" spans="1:15" x14ac:dyDescent="0.25">
      <c r="A143" s="110">
        <f>IF(IndrctAdj!$O$30=0,0.2,MAX(IndrctAdj!J30,0))</f>
        <v>0.1</v>
      </c>
      <c r="B143" s="110">
        <f>IF(IndrctAdj!$O$30=0,0.2,MAX(IndrctAdj!K30,0))</f>
        <v>0.2</v>
      </c>
      <c r="C143" s="110">
        <f>IF(IndrctAdj!$O$30=0,0.2,MAX(IndrctAdj!L30,0))</f>
        <v>0.4</v>
      </c>
      <c r="D143" s="110">
        <f>IF(IndrctAdj!$O$30=0,0.2,MAX(IndrctAdj!M30,0))</f>
        <v>0.2</v>
      </c>
      <c r="E143" s="110">
        <f>IF(IndrctAdj!$O$30=0,0.2,MAX(IndrctAdj!N30,0))</f>
        <v>0.1</v>
      </c>
      <c r="F143" s="96"/>
      <c r="G143" s="97">
        <f>SUM(A143:E143)</f>
        <v>1.0000000000000002</v>
      </c>
    </row>
    <row r="145" spans="1:5" x14ac:dyDescent="0.25">
      <c r="A145" s="118" t="s">
        <v>19</v>
      </c>
      <c r="B145" s="118" t="s">
        <v>15</v>
      </c>
      <c r="C145" s="7"/>
      <c r="D145" s="118" t="s">
        <v>66</v>
      </c>
      <c r="E145" s="118" t="s">
        <v>67</v>
      </c>
    </row>
    <row r="146" spans="1:5" x14ac:dyDescent="0.25">
      <c r="A146" s="114">
        <v>1</v>
      </c>
      <c r="B146" s="114">
        <v>1</v>
      </c>
      <c r="C146" s="7"/>
      <c r="D146" s="7"/>
      <c r="E146" s="7"/>
    </row>
    <row r="147" spans="1:5" x14ac:dyDescent="0.25">
      <c r="A147" s="115">
        <v>1</v>
      </c>
      <c r="B147" s="115">
        <v>1</v>
      </c>
      <c r="C147" s="7"/>
      <c r="D147" s="7"/>
      <c r="E147" s="7"/>
    </row>
    <row r="148" spans="1:5" x14ac:dyDescent="0.25">
      <c r="A148" s="115">
        <f>IndrctAdj!E32</f>
        <v>1</v>
      </c>
      <c r="B148" s="115">
        <f>IndrctAdj!C32</f>
        <v>1</v>
      </c>
      <c r="C148" s="7"/>
      <c r="D148" s="16">
        <f>(A146*$A$143+A147*$B$143+A148*$C$143+A149*$D$143 +A150*$E$143)/$G$143</f>
        <v>1.0979674601832852</v>
      </c>
      <c r="E148" s="16">
        <f>(B146*$A$143+B147*$B$143+B148*$C$143+B149*$D$143 +B150*$E$143)/$G$143</f>
        <v>1.111</v>
      </c>
    </row>
    <row r="149" spans="1:5" x14ac:dyDescent="0.25">
      <c r="A149" s="115">
        <f>IF(IndrctAdj!E33="",A148,IndrctAdj!E33)</f>
        <v>1.2487883933412958</v>
      </c>
      <c r="B149" s="115">
        <f>IF(IndrctAdj!C33="",B148,IndrctAdj!C33)</f>
        <v>1.26</v>
      </c>
      <c r="C149" s="7"/>
      <c r="D149" s="17">
        <f t="shared" ref="D149:D155" si="20">(A147*$A$143+A148*$B$143+A149*$C$143+A150*$D$143 +A151*$E$143)/$G$143</f>
        <v>1.2532796211432993</v>
      </c>
      <c r="E149" s="17">
        <f t="shared" ref="E149:E155" si="21">(B147*$A$143+B148*$B$143+B149*$C$143+B150*$D$143 +B151*$E$143)/$G$143</f>
        <v>1.2889999999999999</v>
      </c>
    </row>
    <row r="150" spans="1:5" x14ac:dyDescent="0.25">
      <c r="A150" s="115">
        <f>IF(IndrctAdj!E34="",A149,IndrctAdj!E34)</f>
        <v>1.4820978151502622</v>
      </c>
      <c r="B150" s="115">
        <f>IF(IndrctAdj!C34="",B149,IndrctAdj!C34)</f>
        <v>1.59</v>
      </c>
      <c r="C150" s="7"/>
      <c r="D150" s="17">
        <f t="shared" si="20"/>
        <v>1.4401940075305928</v>
      </c>
      <c r="E150" s="17">
        <f t="shared" si="21"/>
        <v>1.5199999999999996</v>
      </c>
    </row>
    <row r="151" spans="1:5" x14ac:dyDescent="0.25">
      <c r="A151" s="115">
        <f>IF(IndrctAdj!E35="",A150,IndrctAdj!E35)</f>
        <v>1.5734470077672871</v>
      </c>
      <c r="B151" s="115">
        <f>IF(IndrctAdj!C35="",B150,IndrctAdj!C35)</f>
        <v>1.67</v>
      </c>
      <c r="C151" s="7"/>
      <c r="D151" s="17">
        <f t="shared" si="20"/>
        <v>1.6190534912899188</v>
      </c>
      <c r="E151" s="17">
        <f t="shared" si="21"/>
        <v>1.7259999999999995</v>
      </c>
    </row>
    <row r="152" spans="1:5" x14ac:dyDescent="0.25">
      <c r="A152" s="115">
        <f>IF(IndrctAdj!E36="",A151,IndrctAdj!E36)</f>
        <v>1.8290780124877151</v>
      </c>
      <c r="B152" s="115">
        <f>IF(IndrctAdj!C36="",B151,IndrctAdj!C36)</f>
        <v>1.98</v>
      </c>
      <c r="C152" s="7"/>
      <c r="D152" s="17">
        <f t="shared" si="20"/>
        <v>1.8083163027078004</v>
      </c>
      <c r="E152" s="17">
        <f t="shared" si="21"/>
        <v>1.9469999999999996</v>
      </c>
    </row>
    <row r="153" spans="1:5" x14ac:dyDescent="0.25">
      <c r="A153" s="115">
        <f>IF(IndrctAdj!E37="",A152,IndrctAdj!E37)</f>
        <v>2.0256068332127941</v>
      </c>
      <c r="B153" s="115">
        <f>IF(IndrctAdj!C37="",B152,IndrctAdj!C37)</f>
        <v>2.1800000000000002</v>
      </c>
      <c r="C153" s="7"/>
      <c r="D153" s="17">
        <f t="shared" si="20"/>
        <v>1.9593966805644061</v>
      </c>
      <c r="E153" s="17">
        <f t="shared" si="21"/>
        <v>2.1129999999999995</v>
      </c>
    </row>
    <row r="154" spans="1:5" x14ac:dyDescent="0.25">
      <c r="A154" s="115">
        <f>IF(IndrctAdj!E38="",A153,IndrctAdj!E38)</f>
        <v>2.0866454800167236</v>
      </c>
      <c r="B154" s="115">
        <f>IF(IndrctAdj!C38="",B153,IndrctAdj!C38)</f>
        <v>2.2599999999999998</v>
      </c>
      <c r="C154" s="7"/>
      <c r="D154" s="17">
        <f t="shared" si="20"/>
        <v>2.0486810039030363</v>
      </c>
      <c r="E154" s="17">
        <f t="shared" si="21"/>
        <v>2.2159999999999997</v>
      </c>
    </row>
    <row r="155" spans="1:5" x14ac:dyDescent="0.25">
      <c r="A155" s="115">
        <f>IF(IndrctAdj!E39="",A154,IndrctAdj!E39)</f>
        <v>2.0866454800167236</v>
      </c>
      <c r="B155" s="115">
        <f>IF(IndrctAdj!C39="",B154,IndrctAdj!C39)</f>
        <v>2.2599999999999998</v>
      </c>
      <c r="C155" s="7"/>
      <c r="D155" s="17">
        <f t="shared" si="20"/>
        <v>2.0805416153363301</v>
      </c>
      <c r="E155" s="17">
        <f t="shared" si="21"/>
        <v>2.2519999999999993</v>
      </c>
    </row>
    <row r="156" spans="1:5" x14ac:dyDescent="0.25">
      <c r="A156" s="115">
        <f>IF(IndrctAdj!E40="",A155,IndrctAdj!E40)</f>
        <v>2.0866454800167236</v>
      </c>
      <c r="B156" s="115">
        <f>IF(IndrctAdj!C40="",B155,IndrctAdj!C40)</f>
        <v>2.2599999999999998</v>
      </c>
      <c r="C156" s="7"/>
      <c r="D156" s="17">
        <f t="shared" ref="D156:D159" si="22">(A154*$A$143+A155*$B$143+A156*$C$143+A157*$D$143 +A158*$E$143)/$G$143</f>
        <v>2.0866454800167231</v>
      </c>
      <c r="E156" s="17">
        <f t="shared" ref="E156:E158" si="23">(B154*$A$143+B155*$B$143+B156*$C$143+B157*$D$143 +B158*$E$143)/$G$143</f>
        <v>2.2599999999999993</v>
      </c>
    </row>
    <row r="157" spans="1:5" x14ac:dyDescent="0.25">
      <c r="A157" s="115">
        <f>IF(IndrctAdj!E41="",A156,IndrctAdj!E41)</f>
        <v>2.0866454800167236</v>
      </c>
      <c r="B157" s="115">
        <f>IF(IndrctAdj!C41="",B156,IndrctAdj!C41)</f>
        <v>2.2599999999999998</v>
      </c>
      <c r="C157" s="7"/>
      <c r="D157" s="17">
        <f t="shared" si="22"/>
        <v>2.0866454800167231</v>
      </c>
      <c r="E157" s="17">
        <f t="shared" si="23"/>
        <v>2.2599999999999993</v>
      </c>
    </row>
    <row r="158" spans="1:5" x14ac:dyDescent="0.25">
      <c r="A158" s="115">
        <f>IF(IndrctAdj!E42="",A157,IndrctAdj!E42)</f>
        <v>2.0866454800167236</v>
      </c>
      <c r="B158" s="115">
        <f>IF(IndrctAdj!C42="",B157,IndrctAdj!C42)</f>
        <v>2.2599999999999998</v>
      </c>
      <c r="C158" s="7"/>
      <c r="D158" s="17">
        <f t="shared" si="22"/>
        <v>2.0866454800167231</v>
      </c>
      <c r="E158" s="17">
        <f t="shared" si="23"/>
        <v>2.2599999999999993</v>
      </c>
    </row>
    <row r="159" spans="1:5" x14ac:dyDescent="0.25">
      <c r="A159" s="115">
        <f>IF(IndrctAdj!E43="",A158,IndrctAdj!E43)</f>
        <v>2.0866454800167236</v>
      </c>
      <c r="B159" s="115">
        <f>IF(IndrctAdj!C43="",B158,IndrctAdj!C43)</f>
        <v>2.2599999999999998</v>
      </c>
      <c r="C159" s="7"/>
      <c r="D159" s="17">
        <f t="shared" si="22"/>
        <v>2.0866454800167231</v>
      </c>
      <c r="E159" s="17">
        <f>(B157*$A$143+B158*$B$143+B159*$C$143+B160*$D$143 +B161*$E$143)/$G$143</f>
        <v>2.2599999999999993</v>
      </c>
    </row>
    <row r="160" spans="1:5" x14ac:dyDescent="0.25">
      <c r="A160" s="115">
        <f>IF(IndrctAdj!E44="",A159,IndrctAdj!E44)</f>
        <v>2.0866454800167236</v>
      </c>
      <c r="B160" s="115">
        <f>IF(IndrctAdj!C44="",B159,IndrctAdj!C44)</f>
        <v>2.2599999999999998</v>
      </c>
      <c r="C160" s="7"/>
      <c r="D160" s="17">
        <f>(A158*$A$143+A159*$B$143+A160*$C$143+A161*$D$143 +A162*$E$143)/$G$143</f>
        <v>2.0866454800167231</v>
      </c>
      <c r="E160" s="17">
        <f>(B158*$A$143+B159*$B$143+B160*$C$143+B161*$D$143 +B162*$E$143)/$G$143</f>
        <v>2.2599999999999993</v>
      </c>
    </row>
    <row r="161" spans="1:12" x14ac:dyDescent="0.25">
      <c r="A161" s="115">
        <f>IF(IndrctAdj!E45="",A160,IndrctAdj!E45)</f>
        <v>2.0866454800167236</v>
      </c>
      <c r="B161" s="115">
        <f>IF(IndrctAdj!C45="",B160,IndrctAdj!C45)</f>
        <v>2.2599999999999998</v>
      </c>
      <c r="C161" s="7"/>
      <c r="D161" s="17">
        <f>(A159*$A$143+A160*$B$143+A161*$C$143+A162*$D$143 +A163*$E$143)/$G$143</f>
        <v>2.0866454800167231</v>
      </c>
      <c r="E161" s="17">
        <f>(B159*$A$143+B160*$B$143+B161*$C$143+B162*$D$143 +B163*$E$143)/$G$143</f>
        <v>2.2599999999999993</v>
      </c>
    </row>
    <row r="162" spans="1:12" x14ac:dyDescent="0.25">
      <c r="A162" s="115">
        <f>IF(IndrctAdj!E46="",A161,IndrctAdj!E46)</f>
        <v>2.0866454800167236</v>
      </c>
      <c r="B162" s="115">
        <f>IF(IndrctAdj!C46="",B161,IndrctAdj!C46)</f>
        <v>2.2599999999999998</v>
      </c>
      <c r="C162" s="7"/>
      <c r="D162" s="17">
        <f>(A160*$A$143+A161*$B$143+A162*$C$143+A163*$D$143 +A164*$E$143)/$G$143</f>
        <v>2.0866454800167231</v>
      </c>
      <c r="E162" s="17">
        <f>(B160*$A$143+B161*$B$143+B162*$C$143+B163*$D$143 +B164*$E$143)/$G$143</f>
        <v>2.2599999999999993</v>
      </c>
    </row>
    <row r="163" spans="1:12" x14ac:dyDescent="0.25">
      <c r="A163" s="116">
        <f>IF(IndrctAdj!E47="",A162,IndrctAdj!E47)</f>
        <v>2.0866454800167236</v>
      </c>
      <c r="B163" s="116">
        <f>IF(IndrctAdj!C47="",B162,IndrctAdj!C47)</f>
        <v>2.2599999999999998</v>
      </c>
      <c r="C163" s="7"/>
      <c r="D163" s="18">
        <f>(A161*$A$143+A162*$B$143+A163*$C$143+A164*$D$143 +A165*$E$143)/$G$143</f>
        <v>2.0866454800167231</v>
      </c>
      <c r="E163" s="17">
        <f>(B161*$A$143+B162*$B$143+B163*$C$143+B164*$D$143 +B165*$E$143)/$G$143</f>
        <v>2.2599999999999993</v>
      </c>
    </row>
    <row r="164" spans="1:12" x14ac:dyDescent="0.25">
      <c r="A164" s="12">
        <f>A163</f>
        <v>2.0866454800167236</v>
      </c>
      <c r="B164" s="12">
        <f>B163</f>
        <v>2.2599999999999998</v>
      </c>
      <c r="C164" s="7"/>
      <c r="D164" s="30">
        <f>(A162*$A$143+A163*$B$143+A164*$C$143+A165*$D$143 +A165*$E$143)/$G$143</f>
        <v>2.0866454800167231</v>
      </c>
      <c r="E164" s="30">
        <f>(B162*$A$143+B163*$B$143+B164*$C$143+B165*$D$143 +B165*$E$143)/$G$143</f>
        <v>2.2599999999999993</v>
      </c>
    </row>
    <row r="165" spans="1:12" x14ac:dyDescent="0.25">
      <c r="A165" s="12">
        <f>A164</f>
        <v>2.0866454800167236</v>
      </c>
      <c r="B165" s="12">
        <f>B164</f>
        <v>2.2599999999999998</v>
      </c>
      <c r="C165" s="7"/>
      <c r="D165" s="33">
        <f>(A163*$A$143+A164*$B$143+A165*$C$143+A165*$D$143 +A165*$E$143)/$G$143</f>
        <v>2.0866454800167231</v>
      </c>
      <c r="E165" s="33">
        <f>(B163*$A$143+B164*$B$143+B165*$C$143+B165*$D$143 +B165*$E$143)/$G$143</f>
        <v>2.2599999999999993</v>
      </c>
    </row>
    <row r="169" spans="1:12" ht="18.75" x14ac:dyDescent="0.3">
      <c r="A169" s="961" t="s">
        <v>72</v>
      </c>
      <c r="B169" s="961"/>
      <c r="C169" s="961"/>
      <c r="D169" s="961"/>
      <c r="E169" s="961"/>
    </row>
    <row r="171" spans="1:12" ht="15.75" x14ac:dyDescent="0.25">
      <c r="A171" s="955" t="s">
        <v>64</v>
      </c>
      <c r="B171" s="955"/>
      <c r="C171" s="955"/>
      <c r="D171" s="955"/>
      <c r="E171" s="955"/>
      <c r="F171" s="94"/>
      <c r="G171" s="95" t="s">
        <v>65</v>
      </c>
      <c r="K171"/>
      <c r="L171"/>
    </row>
    <row r="172" spans="1:12" ht="15.75" thickBot="1" x14ac:dyDescent="0.3">
      <c r="A172" s="110">
        <f>IF(IndrctAdj!$O$77=0,0.2,IndrctAdj!J77)</f>
        <v>0.1</v>
      </c>
      <c r="B172" s="111">
        <f>IF(IndrctAdj!$O$77=0,0.2,IndrctAdj!K77)</f>
        <v>0.2</v>
      </c>
      <c r="C172" s="112">
        <f>IF(IndrctAdj!$O$77=0,0.2,IndrctAdj!L77)</f>
        <v>0.4</v>
      </c>
      <c r="D172" s="113">
        <f>IF(IndrctAdj!$O$77=0,0.2,IndrctAdj!M77)</f>
        <v>0.2</v>
      </c>
      <c r="E172" s="110">
        <f>IF(IndrctAdj!$O$77=0,0.2,IndrctAdj!N77)</f>
        <v>0.1</v>
      </c>
      <c r="F172" s="96"/>
      <c r="G172" s="97">
        <f>SUM(A172:E172)</f>
        <v>1.0000000000000002</v>
      </c>
      <c r="K172"/>
      <c r="L172"/>
    </row>
    <row r="173" spans="1:12" x14ac:dyDescent="0.25">
      <c r="A173" s="62"/>
      <c r="B173" s="62"/>
      <c r="C173" s="62"/>
      <c r="D173" s="62"/>
      <c r="E173" s="62"/>
      <c r="F173" s="62"/>
      <c r="G173" s="62"/>
      <c r="K173"/>
      <c r="L173"/>
    </row>
    <row r="174" spans="1:12" x14ac:dyDescent="0.25">
      <c r="A174" s="65" t="s">
        <v>18</v>
      </c>
      <c r="B174" s="66" t="s">
        <v>16</v>
      </c>
      <c r="C174" s="62"/>
      <c r="D174" s="78" t="s">
        <v>66</v>
      </c>
      <c r="E174" s="78" t="s">
        <v>67</v>
      </c>
      <c r="F174" s="62"/>
      <c r="G174" s="62"/>
      <c r="K174"/>
      <c r="L174"/>
    </row>
    <row r="175" spans="1:12" x14ac:dyDescent="0.25">
      <c r="A175" s="121">
        <v>0</v>
      </c>
      <c r="B175" s="121">
        <v>0</v>
      </c>
      <c r="C175" s="62"/>
      <c r="D175" s="101"/>
      <c r="E175" s="62"/>
      <c r="F175" s="62"/>
      <c r="G175" s="62"/>
      <c r="K175"/>
      <c r="L175"/>
    </row>
    <row r="176" spans="1:12" x14ac:dyDescent="0.25">
      <c r="A176" s="122">
        <v>0</v>
      </c>
      <c r="B176" s="122">
        <v>0</v>
      </c>
      <c r="C176" s="62"/>
      <c r="D176" s="101"/>
      <c r="E176" s="62"/>
      <c r="F176" s="62"/>
      <c r="G176" s="62"/>
      <c r="K176"/>
      <c r="L176"/>
    </row>
    <row r="177" spans="1:12" x14ac:dyDescent="0.25">
      <c r="A177" s="122">
        <v>0</v>
      </c>
      <c r="B177" s="122">
        <v>0</v>
      </c>
      <c r="C177" s="62"/>
      <c r="D177" s="180">
        <f>(A175*$A$172+A176*$B$172+A177*$C$172+A178*$D$172 +A179*$E$172)/$G$172</f>
        <v>7.3361792519999997E-2</v>
      </c>
      <c r="E177" s="180">
        <f t="shared" ref="E177:E182" si="24">(B175*$A$172+B176*$B$172+B177*$C$172+B178*$D$172 +B179*$E$172)/$G$172</f>
        <v>0.11099999999999999</v>
      </c>
      <c r="F177" s="62"/>
      <c r="G177" s="62"/>
      <c r="K177"/>
      <c r="L177"/>
    </row>
    <row r="178" spans="1:12" x14ac:dyDescent="0.25">
      <c r="A178" s="122">
        <f>IF(IndrctAdj!E80="",A177,IndrctAdj!E80)</f>
        <v>0.1806779432</v>
      </c>
      <c r="B178" s="122">
        <f>IF(IndrctAdj!C80="",B177,IndrctAdj!C80)</f>
        <v>0.26</v>
      </c>
      <c r="C178" s="62"/>
      <c r="D178" s="181">
        <f t="shared" ref="D178:D181" si="25">(A176*$A$172+A177*$B$172+A178*$C$172+A179*$D$172 +A180*$E$172)/$G$172</f>
        <v>0.19053133747999995</v>
      </c>
      <c r="E178" s="181">
        <f t="shared" si="24"/>
        <v>0.28899999999999998</v>
      </c>
      <c r="F178" s="62"/>
      <c r="G178" s="62"/>
      <c r="K178"/>
      <c r="L178"/>
    </row>
    <row r="179" spans="1:12" x14ac:dyDescent="0.25">
      <c r="A179" s="122">
        <f>IF(IndrctAdj!E81="",A178,IndrctAdj!E81)</f>
        <v>0.37226203880000008</v>
      </c>
      <c r="B179" s="122">
        <f>IF(IndrctAdj!C81="",B178,IndrctAdj!C81)</f>
        <v>0.59000000000000008</v>
      </c>
      <c r="C179" s="62"/>
      <c r="D179" s="181">
        <f t="shared" si="25"/>
        <v>0.33725429839999999</v>
      </c>
      <c r="E179" s="181">
        <f t="shared" si="24"/>
        <v>0.51999999999999991</v>
      </c>
      <c r="F179" s="62"/>
      <c r="G179" s="62"/>
      <c r="K179"/>
      <c r="L179"/>
    </row>
    <row r="180" spans="1:12" x14ac:dyDescent="0.25">
      <c r="A180" s="122">
        <f>IF(IndrctAdj!E82="",A179,IndrctAdj!E82)</f>
        <v>0.43807752439999997</v>
      </c>
      <c r="B180" s="122">
        <f>IF(IndrctAdj!C82="",B179,IndrctAdj!C82)</f>
        <v>0.66999999999999993</v>
      </c>
      <c r="C180" s="62"/>
      <c r="D180" s="181">
        <f t="shared" si="25"/>
        <v>0.47639463831999984</v>
      </c>
      <c r="E180" s="181">
        <f t="shared" si="24"/>
        <v>0.72599999999999987</v>
      </c>
      <c r="F180" s="62"/>
      <c r="G180" s="62"/>
      <c r="K180"/>
      <c r="L180"/>
    </row>
    <row r="181" spans="1:12" x14ac:dyDescent="0.25">
      <c r="A181" s="122">
        <f>IF(IndrctAdj!E83="",A180,IndrctAdj!E83)</f>
        <v>0.64598389359999997</v>
      </c>
      <c r="B181" s="122">
        <f>IF(IndrctAdj!C83="",B180,IndrctAdj!C83)</f>
        <v>0.98</v>
      </c>
      <c r="C181" s="62"/>
      <c r="D181" s="181">
        <f t="shared" si="25"/>
        <v>0.6268397900399999</v>
      </c>
      <c r="E181" s="181">
        <f t="shared" si="24"/>
        <v>0.94699999999999973</v>
      </c>
      <c r="F181" s="62"/>
      <c r="G181" s="62"/>
      <c r="K181"/>
      <c r="L181"/>
    </row>
    <row r="182" spans="1:12" x14ac:dyDescent="0.25">
      <c r="A182" s="122">
        <f>IF(IndrctAdj!E84="",A181,IndrctAdj!E84)</f>
        <v>0.79446647760000011</v>
      </c>
      <c r="B182" s="122">
        <f>IF(IndrctAdj!C84="",B181,IndrctAdj!C84)</f>
        <v>1.1800000000000002</v>
      </c>
      <c r="C182" s="62"/>
      <c r="D182" s="181">
        <f>(A180*$A$172+A181*$B$172+A182*$C$172+A183*$D$172 +A184*$E$172)/$G$172</f>
        <v>0.74492480715999998</v>
      </c>
      <c r="E182" s="181">
        <f t="shared" si="24"/>
        <v>1.1129999999999998</v>
      </c>
      <c r="F182" s="62"/>
      <c r="G182" s="62"/>
      <c r="K182"/>
      <c r="L182"/>
    </row>
    <row r="183" spans="1:12" x14ac:dyDescent="0.25">
      <c r="A183" s="122">
        <f>IF(IndrctAdj!E85="",A182,IndrctAdj!E85)</f>
        <v>0.84711228319999987</v>
      </c>
      <c r="B183" s="122">
        <f>IF(IndrctAdj!C85="",B182,IndrctAdj!C85)</f>
        <v>1.2599999999999998</v>
      </c>
      <c r="C183" s="62"/>
      <c r="D183" s="181">
        <f t="shared" ref="D183" si="26">(A181*$A$172+A182*$B$172+A183*$C$172+A184*$D$172 +A185*$E$172)/$G$172</f>
        <v>0.81647028311999981</v>
      </c>
      <c r="E183" s="181">
        <f t="shared" ref="E183:E191" si="27">(B181*$A$172+B182*$B$172+B183*$C$172+B184*$D$172 +B185*$E$172)/$G$172</f>
        <v>1.2159999999999995</v>
      </c>
      <c r="F183" s="62"/>
      <c r="G183" s="62"/>
      <c r="K183"/>
      <c r="L183"/>
    </row>
    <row r="184" spans="1:12" x14ac:dyDescent="0.25">
      <c r="A184" s="122">
        <f>IF(IndrctAdj!E86="",A183,IndrctAdj!E86)</f>
        <v>0.84711228319999987</v>
      </c>
      <c r="B184" s="122">
        <f>IF(IndrctAdj!C86="",B183,IndrctAdj!C86)</f>
        <v>1.2599999999999998</v>
      </c>
      <c r="C184" s="62"/>
      <c r="D184" s="181">
        <f t="shared" ref="D184:D192" si="28">(A182*$A$172+A183*$B$172+A184*$C$172+A185*$D$172 +A186*$E$172)/$G$172</f>
        <v>0.84184770263999975</v>
      </c>
      <c r="E184" s="181">
        <f t="shared" si="27"/>
        <v>1.2519999999999996</v>
      </c>
      <c r="F184" s="62"/>
      <c r="G184" s="62"/>
      <c r="K184"/>
      <c r="L184"/>
    </row>
    <row r="185" spans="1:12" x14ac:dyDescent="0.25">
      <c r="A185" s="122">
        <f>IF(IndrctAdj!E87="",A184,IndrctAdj!E87)</f>
        <v>0.84711228319999987</v>
      </c>
      <c r="B185" s="122">
        <f>IF(IndrctAdj!C87="",B184,IndrctAdj!C87)</f>
        <v>1.2599999999999998</v>
      </c>
      <c r="C185" s="62"/>
      <c r="D185" s="181">
        <f>(A183*$A$172+A184*$B$172+A185*$C$172+A186*$D$172 +A187*$E$172)/$G$172</f>
        <v>0.84711228319999976</v>
      </c>
      <c r="E185" s="181">
        <f t="shared" si="27"/>
        <v>1.2599999999999993</v>
      </c>
      <c r="F185" s="62"/>
      <c r="G185" s="62"/>
      <c r="K185"/>
      <c r="L185"/>
    </row>
    <row r="186" spans="1:12" x14ac:dyDescent="0.25">
      <c r="A186" s="122">
        <f>IF(IndrctAdj!E88="",A185,IndrctAdj!E88)</f>
        <v>0.84711228319999987</v>
      </c>
      <c r="B186" s="122">
        <f>IF(IndrctAdj!C88="",B185,IndrctAdj!C88)</f>
        <v>1.2599999999999998</v>
      </c>
      <c r="C186" s="62"/>
      <c r="D186" s="181">
        <f t="shared" si="28"/>
        <v>0.84711228319999976</v>
      </c>
      <c r="E186" s="181">
        <f t="shared" si="27"/>
        <v>1.2599999999999993</v>
      </c>
      <c r="F186" s="62"/>
      <c r="G186" s="62"/>
      <c r="K186"/>
      <c r="L186"/>
    </row>
    <row r="187" spans="1:12" x14ac:dyDescent="0.25">
      <c r="A187" s="122">
        <f>IF(IndrctAdj!E89="",A186,IndrctAdj!E89)</f>
        <v>0.84711228319999987</v>
      </c>
      <c r="B187" s="122">
        <f>IF(IndrctAdj!C89="",B186,IndrctAdj!C89)</f>
        <v>1.2599999999999998</v>
      </c>
      <c r="C187" s="62"/>
      <c r="D187" s="181">
        <f t="shared" si="28"/>
        <v>0.84711228319999976</v>
      </c>
      <c r="E187" s="181">
        <f t="shared" si="27"/>
        <v>1.2599999999999993</v>
      </c>
      <c r="F187" s="62"/>
      <c r="G187" s="62"/>
      <c r="K187"/>
      <c r="L187"/>
    </row>
    <row r="188" spans="1:12" x14ac:dyDescent="0.25">
      <c r="A188" s="122">
        <f>IF(IndrctAdj!E90="",A187,IndrctAdj!E90)</f>
        <v>0.84711228319999987</v>
      </c>
      <c r="B188" s="122">
        <f>IF(IndrctAdj!C90="",B187,IndrctAdj!C90)</f>
        <v>1.2599999999999998</v>
      </c>
      <c r="C188" s="62"/>
      <c r="D188" s="181">
        <f t="shared" si="28"/>
        <v>0.84711228319999976</v>
      </c>
      <c r="E188" s="181">
        <f t="shared" si="27"/>
        <v>1.2599999999999993</v>
      </c>
      <c r="F188" s="62"/>
      <c r="G188" s="62"/>
      <c r="K188"/>
      <c r="L188"/>
    </row>
    <row r="189" spans="1:12" x14ac:dyDescent="0.25">
      <c r="A189" s="122">
        <f>IF(IndrctAdj!E91="",A188,IndrctAdj!E91)</f>
        <v>0.84711228319999987</v>
      </c>
      <c r="B189" s="122">
        <f>IF(IndrctAdj!C91="",B188,IndrctAdj!C91)</f>
        <v>1.2599999999999998</v>
      </c>
      <c r="C189" s="62"/>
      <c r="D189" s="181">
        <f t="shared" si="28"/>
        <v>0.84711228319999976</v>
      </c>
      <c r="E189" s="181">
        <f t="shared" si="27"/>
        <v>1.2599999999999993</v>
      </c>
      <c r="F189" s="62"/>
      <c r="G189" s="62"/>
      <c r="K189"/>
      <c r="L189"/>
    </row>
    <row r="190" spans="1:12" x14ac:dyDescent="0.25">
      <c r="A190" s="122">
        <f>IF(IndrctAdj!E92="",A189,IndrctAdj!E92)</f>
        <v>0.84711228319999987</v>
      </c>
      <c r="B190" s="122">
        <f>IF(IndrctAdj!C92="",B189,IndrctAdj!C92)</f>
        <v>1.2599999999999998</v>
      </c>
      <c r="C190" s="62"/>
      <c r="D190" s="181">
        <f t="shared" si="28"/>
        <v>0.84711228319999976</v>
      </c>
      <c r="E190" s="181">
        <f t="shared" si="27"/>
        <v>1.2599999999999993</v>
      </c>
      <c r="F190" s="62"/>
      <c r="G190" s="62"/>
      <c r="K190"/>
      <c r="L190"/>
    </row>
    <row r="191" spans="1:12" x14ac:dyDescent="0.25">
      <c r="A191" s="122">
        <f>IF(IndrctAdj!E93="",A190,IndrctAdj!E93)</f>
        <v>0.84711228319999987</v>
      </c>
      <c r="B191" s="122">
        <f>IF(IndrctAdj!C93="",B190,IndrctAdj!C93)</f>
        <v>1.2599999999999998</v>
      </c>
      <c r="C191" s="62"/>
      <c r="D191" s="181">
        <f t="shared" si="28"/>
        <v>0.84711228319999976</v>
      </c>
      <c r="E191" s="181">
        <f t="shared" si="27"/>
        <v>1.2599999999999993</v>
      </c>
      <c r="F191" s="62"/>
      <c r="G191" s="62"/>
      <c r="K191"/>
      <c r="L191"/>
    </row>
    <row r="192" spans="1:12" x14ac:dyDescent="0.25">
      <c r="A192" s="123">
        <f>IF(IndrctAdj!E94="",A191,IndrctAdj!E94)</f>
        <v>0.84711228319999987</v>
      </c>
      <c r="B192" s="123">
        <f>IF(IndrctAdj!C94="",B191,IndrctAdj!C94)</f>
        <v>1.2599999999999998</v>
      </c>
      <c r="C192" s="62"/>
      <c r="D192" s="182">
        <f t="shared" si="28"/>
        <v>0.84711228319999976</v>
      </c>
      <c r="E192" s="182">
        <f>(B190*$A$172+B191*$B$172+B192*$C$172+B193*$D$172 +B194*$E$172)/$G$172</f>
        <v>1.2599999999999993</v>
      </c>
      <c r="F192" s="62"/>
      <c r="G192" s="62"/>
      <c r="K192"/>
      <c r="L192"/>
    </row>
    <row r="193" spans="1:12" x14ac:dyDescent="0.25">
      <c r="A193" s="109">
        <f>A192</f>
        <v>0.84711228319999987</v>
      </c>
      <c r="B193" s="109">
        <f t="shared" ref="B193:B194" si="29">B192</f>
        <v>1.2599999999999998</v>
      </c>
      <c r="C193" s="62"/>
      <c r="D193" s="101">
        <f>(A191*$A$172+A192*$B$172+A193*$C$172+A194*$D$172 +A194*$E$172)/$G$172</f>
        <v>0.84711228319999976</v>
      </c>
      <c r="E193" s="101">
        <f>(B191*$A$172+B192*$B$172+B193*$C$172+B194*$D$172 +B194*$E$172)/$G$172</f>
        <v>1.2599999999999993</v>
      </c>
      <c r="F193" s="62"/>
      <c r="G193" s="62"/>
      <c r="K193"/>
      <c r="L193"/>
    </row>
    <row r="194" spans="1:12" x14ac:dyDescent="0.25">
      <c r="A194" s="109">
        <f>A193</f>
        <v>0.84711228319999987</v>
      </c>
      <c r="B194" s="109">
        <f t="shared" si="29"/>
        <v>1.2599999999999998</v>
      </c>
      <c r="C194" s="62"/>
      <c r="D194" s="101">
        <f>(A192*$A$172+A193*$B$172+A194*$C$172+A194*$D$172 +A194*$E$172)/$G$172</f>
        <v>0.84711228319999976</v>
      </c>
      <c r="E194" s="101">
        <f>(B192*$A$172+B193*$B$172+B194*$C$172+B194*$D$172 +B194*$E$172)/$G$172</f>
        <v>1.2599999999999993</v>
      </c>
      <c r="F194" s="62"/>
      <c r="G194" s="62"/>
      <c r="K194"/>
      <c r="L194"/>
    </row>
  </sheetData>
  <sheetProtection algorithmName="SHA-512" hashValue="DpAnyr2U/mMluzQXHzZOVOKy+iABR4juJ/m+nEW+yyuk816nQC2wAiSVVWq2Ihm+gbE/R/+oR7Yr3afUi/xIaQ==" saltValue="nmBqbqyb1E3Dollvcsl+0A==" spinCount="100000" sheet="1" objects="1" scenarios="1" insertColumns="0" insertRows="0" deleteColumns="0" deleteRows="0"/>
  <mergeCells count="14">
    <mergeCell ref="A142:E142"/>
    <mergeCell ref="A171:E171"/>
    <mergeCell ref="C120:F120"/>
    <mergeCell ref="O3:R3"/>
    <mergeCell ref="H3:K3"/>
    <mergeCell ref="F25:G25"/>
    <mergeCell ref="H25:I25"/>
    <mergeCell ref="C74:F74"/>
    <mergeCell ref="G74:J74"/>
    <mergeCell ref="A140:E140"/>
    <mergeCell ref="A169:E169"/>
    <mergeCell ref="L74:M74"/>
    <mergeCell ref="N74:O74"/>
    <mergeCell ref="N120:O1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72"/>
  <sheetViews>
    <sheetView showGridLines="0" zoomScale="90" zoomScaleNormal="90" workbookViewId="0">
      <selection activeCell="A73" sqref="A73"/>
    </sheetView>
  </sheetViews>
  <sheetFormatPr defaultRowHeight="15" x14ac:dyDescent="0.25"/>
  <cols>
    <col min="1" max="1" width="11" style="344" customWidth="1"/>
    <col min="2" max="3" width="9.140625" style="344"/>
    <col min="4" max="4" width="11.85546875" style="344" customWidth="1"/>
    <col min="5" max="5" width="12" style="344" customWidth="1"/>
    <col min="6" max="6" width="10.42578125" style="344" customWidth="1"/>
    <col min="7" max="7" width="11.42578125" style="344" customWidth="1"/>
    <col min="8" max="8" width="10" style="344" customWidth="1"/>
    <col min="9" max="9" width="11.42578125" style="344" customWidth="1"/>
    <col min="10" max="10" width="10" style="344" customWidth="1"/>
    <col min="11" max="11" width="10.5703125" style="344" customWidth="1"/>
    <col min="12" max="12" width="11.42578125" style="344" customWidth="1"/>
    <col min="13" max="16384" width="9.140625" style="344"/>
  </cols>
  <sheetData>
    <row r="1" spans="1:28" ht="3.75" customHeight="1" thickBot="1" x14ac:dyDescent="0.3"/>
    <row r="2" spans="1:28" ht="20.25" customHeight="1" thickBot="1" x14ac:dyDescent="0.4">
      <c r="A2" s="967" t="s">
        <v>305</v>
      </c>
      <c r="B2" s="968"/>
      <c r="C2" s="968"/>
      <c r="D2" s="968"/>
      <c r="E2" s="968"/>
      <c r="F2" s="968"/>
      <c r="G2" s="968"/>
      <c r="H2" s="968"/>
      <c r="I2" s="968"/>
      <c r="J2" s="968"/>
      <c r="K2" s="969"/>
    </row>
    <row r="3" spans="1:28" ht="18" customHeight="1" x14ac:dyDescent="0.35">
      <c r="A3" s="712"/>
    </row>
    <row r="4" spans="1:28" ht="19.5" thickBot="1" x14ac:dyDescent="0.35">
      <c r="A4" s="469" t="s">
        <v>257</v>
      </c>
    </row>
    <row r="5" spans="1:28" x14ac:dyDescent="0.25">
      <c r="A5" s="583"/>
      <c r="B5" s="583"/>
      <c r="C5" s="583"/>
      <c r="D5" s="583"/>
      <c r="E5" s="583"/>
      <c r="F5" s="583"/>
      <c r="G5" s="966" t="s">
        <v>160</v>
      </c>
      <c r="H5" s="966"/>
      <c r="I5" s="583"/>
      <c r="J5" s="966" t="s">
        <v>139</v>
      </c>
      <c r="K5" s="966"/>
      <c r="N5" s="460"/>
      <c r="O5" s="461"/>
      <c r="P5" s="462"/>
    </row>
    <row r="6" spans="1:28" s="470" customFormat="1" x14ac:dyDescent="0.25">
      <c r="A6" s="583" t="s">
        <v>164</v>
      </c>
      <c r="B6" s="583" t="s">
        <v>15</v>
      </c>
      <c r="C6" s="583" t="s">
        <v>92</v>
      </c>
      <c r="D6" s="583" t="s">
        <v>54</v>
      </c>
      <c r="E6" s="583" t="s">
        <v>105</v>
      </c>
      <c r="F6" s="583"/>
      <c r="G6" s="480" t="s">
        <v>102</v>
      </c>
      <c r="H6" s="480" t="s">
        <v>103</v>
      </c>
      <c r="I6" s="583"/>
      <c r="J6" s="480" t="s">
        <v>102</v>
      </c>
      <c r="K6" s="480" t="s">
        <v>103</v>
      </c>
      <c r="L6" s="471"/>
      <c r="N6" s="463"/>
      <c r="O6" s="464"/>
      <c r="P6" s="465"/>
    </row>
    <row r="7" spans="1:28" s="470" customFormat="1" x14ac:dyDescent="0.25">
      <c r="A7" s="481" t="s">
        <v>96</v>
      </c>
      <c r="B7" s="482">
        <v>1</v>
      </c>
      <c r="C7" s="483">
        <v>7.5</v>
      </c>
      <c r="D7" s="484">
        <v>0.34192667795091525</v>
      </c>
      <c r="E7" s="485">
        <v>2.3199999999999998</v>
      </c>
      <c r="F7" s="485"/>
      <c r="G7" s="486">
        <v>0.99839999999999995</v>
      </c>
      <c r="H7" s="486">
        <v>1.6000000000000001E-3</v>
      </c>
      <c r="I7" s="487"/>
      <c r="J7" s="488">
        <f>1-K7</f>
        <v>0.99717999999999996</v>
      </c>
      <c r="K7" s="488">
        <v>2.82E-3</v>
      </c>
      <c r="L7" s="475"/>
      <c r="N7" s="463"/>
      <c r="O7" s="464"/>
      <c r="P7" s="465"/>
    </row>
    <row r="8" spans="1:28" s="470" customFormat="1" x14ac:dyDescent="0.25">
      <c r="A8" s="481" t="s">
        <v>99</v>
      </c>
      <c r="B8" s="489">
        <v>1.44</v>
      </c>
      <c r="C8" s="483">
        <v>7.2890312160627548</v>
      </c>
      <c r="D8" s="484">
        <v>0.25498683020111179</v>
      </c>
      <c r="E8" s="485">
        <v>7.08</v>
      </c>
      <c r="F8" s="485"/>
      <c r="G8" s="486">
        <v>0.99712000000000001</v>
      </c>
      <c r="H8" s="486">
        <v>2.8800000000000002E-3</v>
      </c>
      <c r="I8" s="487"/>
      <c r="J8" s="488">
        <f t="shared" ref="J8:J12" si="0">1-K8</f>
        <v>0.99492400000000003</v>
      </c>
      <c r="K8" s="488">
        <v>5.0760000000000007E-3</v>
      </c>
      <c r="L8" s="475"/>
      <c r="N8" s="463"/>
      <c r="O8" s="464"/>
      <c r="P8" s="465"/>
    </row>
    <row r="9" spans="1:28" s="470" customFormat="1" x14ac:dyDescent="0.25">
      <c r="A9" s="481" t="s">
        <v>100</v>
      </c>
      <c r="B9" s="489">
        <v>2.0299999999999998</v>
      </c>
      <c r="C9" s="483">
        <v>5.7874104585270354</v>
      </c>
      <c r="D9" s="484">
        <v>0.12393440260595252</v>
      </c>
      <c r="E9" s="485">
        <v>12.34</v>
      </c>
      <c r="F9" s="485"/>
      <c r="G9" s="486">
        <v>0.99583999999999995</v>
      </c>
      <c r="H9" s="486">
        <v>4.1600000000000005E-3</v>
      </c>
      <c r="I9" s="487"/>
      <c r="J9" s="488">
        <f t="shared" si="0"/>
        <v>0.99266799999999999</v>
      </c>
      <c r="K9" s="488">
        <v>7.3320000000000008E-3</v>
      </c>
      <c r="L9" s="475"/>
      <c r="N9" s="463"/>
      <c r="O9" s="464"/>
      <c r="P9" s="465"/>
    </row>
    <row r="10" spans="1:28" s="470" customFormat="1" x14ac:dyDescent="0.25">
      <c r="A10" s="481" t="s">
        <v>97</v>
      </c>
      <c r="B10" s="489">
        <v>1.53</v>
      </c>
      <c r="C10" s="483">
        <v>5.0743446786143229</v>
      </c>
      <c r="D10" s="484">
        <v>0.1422698539148847</v>
      </c>
      <c r="E10" s="485">
        <v>16.54</v>
      </c>
      <c r="F10" s="485"/>
      <c r="G10" s="486">
        <v>0.99456</v>
      </c>
      <c r="H10" s="486">
        <v>5.4400000000000004E-3</v>
      </c>
      <c r="I10" s="487"/>
      <c r="J10" s="488">
        <f t="shared" si="0"/>
        <v>0.99041199999999996</v>
      </c>
      <c r="K10" s="488">
        <v>9.588000000000001E-3</v>
      </c>
      <c r="L10" s="475"/>
      <c r="N10" s="463"/>
      <c r="O10" s="464"/>
      <c r="P10" s="465"/>
    </row>
    <row r="11" spans="1:28" s="470" customFormat="1" x14ac:dyDescent="0.25">
      <c r="A11" s="481" t="s">
        <v>98</v>
      </c>
      <c r="B11" s="489">
        <v>2.02</v>
      </c>
      <c r="C11" s="483">
        <v>2.7995520311125381</v>
      </c>
      <c r="D11" s="484">
        <v>4.0978324597047151E-2</v>
      </c>
      <c r="E11" s="485">
        <v>24.69</v>
      </c>
      <c r="F11" s="485"/>
      <c r="G11" s="486">
        <v>0.99328000000000005</v>
      </c>
      <c r="H11" s="486">
        <v>6.7200000000000003E-3</v>
      </c>
      <c r="I11" s="487"/>
      <c r="J11" s="488">
        <f t="shared" si="0"/>
        <v>0.98815600000000003</v>
      </c>
      <c r="K11" s="488">
        <v>1.1844E-2</v>
      </c>
      <c r="L11" s="475"/>
      <c r="N11" s="463"/>
      <c r="O11" s="464"/>
      <c r="P11" s="465"/>
    </row>
    <row r="12" spans="1:28" s="470" customFormat="1" ht="15.75" thickBot="1" x14ac:dyDescent="0.3">
      <c r="A12" s="481" t="s">
        <v>101</v>
      </c>
      <c r="B12" s="489">
        <v>3.18</v>
      </c>
      <c r="C12" s="483">
        <v>6.3234622860141254</v>
      </c>
      <c r="D12" s="484">
        <v>9.5903910730088554E-2</v>
      </c>
      <c r="E12" s="485">
        <v>51.13</v>
      </c>
      <c r="F12" s="485"/>
      <c r="G12" s="486">
        <v>0.99199999999999999</v>
      </c>
      <c r="H12" s="486">
        <v>8.0000000000000002E-3</v>
      </c>
      <c r="I12" s="487"/>
      <c r="J12" s="488">
        <f t="shared" si="0"/>
        <v>0.9859</v>
      </c>
      <c r="K12" s="488">
        <v>1.4100000000000001E-2</v>
      </c>
      <c r="L12" s="475"/>
      <c r="N12" s="466"/>
      <c r="O12" s="467"/>
      <c r="P12" s="468"/>
    </row>
    <row r="13" spans="1:28" s="470" customFormat="1" x14ac:dyDescent="0.25">
      <c r="A13" s="487"/>
      <c r="B13" s="487"/>
      <c r="C13" s="487"/>
      <c r="D13" s="487"/>
      <c r="E13" s="487"/>
      <c r="F13" s="487"/>
      <c r="G13" s="487"/>
      <c r="H13" s="487"/>
      <c r="I13" s="487"/>
      <c r="J13" s="487"/>
      <c r="K13" s="487"/>
    </row>
    <row r="14" spans="1:28" s="470" customFormat="1" x14ac:dyDescent="0.25">
      <c r="A14" s="487"/>
      <c r="B14" s="487"/>
      <c r="C14" s="487"/>
      <c r="D14" s="487"/>
      <c r="E14" s="487"/>
      <c r="F14" s="515" t="s">
        <v>225</v>
      </c>
      <c r="G14" s="487"/>
      <c r="H14" s="490">
        <v>20</v>
      </c>
      <c r="I14" s="491"/>
      <c r="J14" s="491"/>
      <c r="K14" s="483">
        <v>16</v>
      </c>
    </row>
    <row r="15" spans="1:28" s="470" customFormat="1" x14ac:dyDescent="0.25"/>
    <row r="16" spans="1:28" ht="18.75" x14ac:dyDescent="0.3">
      <c r="A16" s="469" t="s">
        <v>288</v>
      </c>
      <c r="V16" s="476"/>
      <c r="W16" s="476"/>
      <c r="X16" s="476"/>
      <c r="Y16" s="476"/>
      <c r="Z16" s="476"/>
      <c r="AA16" s="477"/>
      <c r="AB16" s="477"/>
    </row>
    <row r="17" spans="1:29" x14ac:dyDescent="0.25">
      <c r="A17" s="492"/>
      <c r="B17" s="493"/>
      <c r="C17" s="493"/>
      <c r="D17" s="493"/>
      <c r="E17" s="493"/>
      <c r="F17" s="493"/>
      <c r="G17" s="966" t="s">
        <v>162</v>
      </c>
      <c r="H17" s="966"/>
      <c r="I17" s="966"/>
      <c r="J17" s="966"/>
      <c r="K17" s="753"/>
      <c r="N17" s="966"/>
      <c r="O17" s="966"/>
      <c r="P17" s="966"/>
      <c r="Q17" s="966"/>
      <c r="R17" s="476"/>
      <c r="S17" s="476"/>
      <c r="T17" s="476"/>
      <c r="U17" s="476"/>
      <c r="V17" s="477"/>
      <c r="W17" s="477"/>
    </row>
    <row r="18" spans="1:29" x14ac:dyDescent="0.25">
      <c r="A18" s="493"/>
      <c r="B18" s="493"/>
      <c r="C18" s="493"/>
      <c r="D18" s="493"/>
      <c r="E18" s="493"/>
      <c r="F18" s="493"/>
      <c r="G18" s="966" t="s">
        <v>116</v>
      </c>
      <c r="H18" s="966"/>
      <c r="I18" s="966"/>
      <c r="J18" s="966"/>
      <c r="K18" s="753"/>
      <c r="N18" s="966"/>
      <c r="O18" s="966"/>
      <c r="P18" s="966"/>
      <c r="Q18" s="966"/>
      <c r="R18" s="476"/>
      <c r="S18" s="476"/>
      <c r="T18" s="476"/>
      <c r="U18" s="476"/>
      <c r="V18" s="477"/>
      <c r="W18" s="477"/>
    </row>
    <row r="19" spans="1:29" x14ac:dyDescent="0.25">
      <c r="A19" s="583" t="s">
        <v>161</v>
      </c>
      <c r="B19" s="493" t="s">
        <v>15</v>
      </c>
      <c r="C19" s="583" t="s">
        <v>92</v>
      </c>
      <c r="D19" s="583" t="s">
        <v>16</v>
      </c>
      <c r="E19" s="583" t="s">
        <v>54</v>
      </c>
      <c r="F19" s="583" t="s">
        <v>105</v>
      </c>
      <c r="G19" s="496" t="s">
        <v>112</v>
      </c>
      <c r="H19" s="496" t="s">
        <v>113</v>
      </c>
      <c r="I19" s="496" t="s">
        <v>114</v>
      </c>
      <c r="J19" s="496" t="s">
        <v>115</v>
      </c>
      <c r="K19" s="496"/>
      <c r="L19" s="474"/>
      <c r="M19" s="478"/>
      <c r="N19" s="496"/>
      <c r="O19" s="496"/>
      <c r="P19" s="496"/>
      <c r="Q19" s="496"/>
      <c r="R19" s="476"/>
      <c r="S19" s="476"/>
      <c r="T19" s="476"/>
      <c r="U19" s="476"/>
      <c r="V19" s="477"/>
      <c r="W19" s="477"/>
    </row>
    <row r="20" spans="1:29" x14ac:dyDescent="0.25">
      <c r="A20" s="497">
        <v>0</v>
      </c>
      <c r="B20" s="498">
        <v>1</v>
      </c>
      <c r="C20" s="483">
        <v>250</v>
      </c>
      <c r="D20" s="498">
        <v>0</v>
      </c>
      <c r="E20" s="484">
        <v>0.621</v>
      </c>
      <c r="F20" s="483">
        <v>0</v>
      </c>
      <c r="G20" s="764">
        <v>0.14313599999999999</v>
      </c>
      <c r="H20" s="765">
        <v>0.32052199999999997</v>
      </c>
      <c r="I20" s="765">
        <v>0.24514900000000001</v>
      </c>
      <c r="J20" s="766">
        <v>0.29119299999999998</v>
      </c>
      <c r="K20" s="768"/>
      <c r="L20" s="473"/>
      <c r="M20" s="479"/>
      <c r="N20" s="484"/>
      <c r="O20" s="484"/>
      <c r="P20" s="484"/>
      <c r="Q20" s="484"/>
    </row>
    <row r="21" spans="1:29" x14ac:dyDescent="0.25">
      <c r="A21" s="497" t="s">
        <v>106</v>
      </c>
      <c r="B21" s="499">
        <v>1.26</v>
      </c>
      <c r="C21" s="483">
        <v>678.59253852182269</v>
      </c>
      <c r="D21" s="498">
        <v>0.26</v>
      </c>
      <c r="E21" s="484">
        <v>0.218</v>
      </c>
      <c r="F21" s="483">
        <v>6.6524299999999998</v>
      </c>
      <c r="G21" s="767">
        <v>0.16232500000000002</v>
      </c>
      <c r="H21" s="768">
        <v>0.31692500000000001</v>
      </c>
      <c r="I21" s="768">
        <v>0.23321500000000001</v>
      </c>
      <c r="J21" s="769">
        <v>0.28753499999999999</v>
      </c>
      <c r="K21" s="768"/>
      <c r="L21" s="473"/>
      <c r="M21" s="479"/>
      <c r="N21" s="484"/>
      <c r="O21" s="484"/>
      <c r="P21" s="484"/>
      <c r="Q21" s="484"/>
    </row>
    <row r="22" spans="1:29" x14ac:dyDescent="0.25">
      <c r="A22" s="497" t="s">
        <v>98</v>
      </c>
      <c r="B22" s="499">
        <v>1.59</v>
      </c>
      <c r="C22" s="483">
        <v>269.8590076390488</v>
      </c>
      <c r="D22" s="498">
        <v>0.59000000000000008</v>
      </c>
      <c r="E22" s="484">
        <v>5.2999999999999999E-2</v>
      </c>
      <c r="F22" s="483">
        <v>23.531600000000001</v>
      </c>
      <c r="G22" s="767">
        <v>0.22681599999999999</v>
      </c>
      <c r="H22" s="768">
        <v>0.35488700000000001</v>
      </c>
      <c r="I22" s="768">
        <v>0.23813500000000001</v>
      </c>
      <c r="J22" s="769">
        <v>0.18016199999999999</v>
      </c>
      <c r="K22" s="768"/>
      <c r="L22" s="473"/>
      <c r="M22" s="479"/>
      <c r="N22" s="484"/>
      <c r="O22" s="484"/>
      <c r="P22" s="484"/>
      <c r="Q22" s="484"/>
    </row>
    <row r="23" spans="1:29" x14ac:dyDescent="0.25">
      <c r="A23" s="497" t="s">
        <v>108</v>
      </c>
      <c r="B23" s="499">
        <v>1.67</v>
      </c>
      <c r="C23" s="483">
        <v>204.84423461094022</v>
      </c>
      <c r="D23" s="498">
        <v>0.66999999999999993</v>
      </c>
      <c r="E23" s="484">
        <v>3.9E-2</v>
      </c>
      <c r="F23" s="483">
        <v>33.539400000000001</v>
      </c>
      <c r="G23" s="767">
        <v>0.21522200000000002</v>
      </c>
      <c r="H23" s="768">
        <v>0.36678400000000005</v>
      </c>
      <c r="I23" s="768">
        <v>0.19762299999999999</v>
      </c>
      <c r="J23" s="769">
        <v>0.22037099999999998</v>
      </c>
      <c r="K23" s="768"/>
      <c r="L23" s="473"/>
      <c r="M23" s="479"/>
      <c r="N23" s="484"/>
      <c r="O23" s="484"/>
      <c r="P23" s="484"/>
      <c r="Q23" s="484"/>
    </row>
    <row r="24" spans="1:29" x14ac:dyDescent="0.25">
      <c r="A24" s="497" t="s">
        <v>109</v>
      </c>
      <c r="B24" s="499">
        <v>1.98</v>
      </c>
      <c r="C24" s="483">
        <v>174.89185122952264</v>
      </c>
      <c r="D24" s="498">
        <v>0.98</v>
      </c>
      <c r="E24" s="484">
        <v>2.5000000000000001E-2</v>
      </c>
      <c r="F24" s="483">
        <v>43.674599999999998</v>
      </c>
      <c r="G24" s="767">
        <v>0.255994</v>
      </c>
      <c r="H24" s="768">
        <v>0.35098999999999997</v>
      </c>
      <c r="I24" s="768">
        <v>0.198911</v>
      </c>
      <c r="J24" s="769">
        <v>0.194105</v>
      </c>
      <c r="K24" s="768"/>
      <c r="L24" s="473"/>
      <c r="M24" s="479"/>
      <c r="N24" s="484"/>
      <c r="O24" s="484"/>
      <c r="P24" s="484"/>
      <c r="Q24" s="484"/>
    </row>
    <row r="25" spans="1:29" x14ac:dyDescent="0.25">
      <c r="A25" s="497" t="s">
        <v>110</v>
      </c>
      <c r="B25" s="499">
        <v>2.1800000000000002</v>
      </c>
      <c r="C25" s="483">
        <v>80.342980609274747</v>
      </c>
      <c r="D25" s="498">
        <v>1.1800000000000002</v>
      </c>
      <c r="E25" s="484">
        <v>1.4999999999999999E-2</v>
      </c>
      <c r="F25" s="483">
        <v>53.618000000000002</v>
      </c>
      <c r="G25" s="767">
        <v>0.26041199999999998</v>
      </c>
      <c r="H25" s="768">
        <v>0.33719199999999999</v>
      </c>
      <c r="I25" s="768">
        <v>0.18612100000000001</v>
      </c>
      <c r="J25" s="769">
        <v>0.21627500000000002</v>
      </c>
      <c r="K25" s="768"/>
      <c r="L25" s="473"/>
      <c r="M25" s="479"/>
      <c r="N25" s="484"/>
      <c r="O25" s="484"/>
      <c r="P25" s="484"/>
      <c r="Q25" s="484"/>
    </row>
    <row r="26" spans="1:29" x14ac:dyDescent="0.25">
      <c r="A26" s="497" t="s">
        <v>111</v>
      </c>
      <c r="B26" s="499">
        <v>2.2599999999999998</v>
      </c>
      <c r="C26" s="483">
        <v>192.45506233444695</v>
      </c>
      <c r="D26" s="498">
        <v>1.2599999999999998</v>
      </c>
      <c r="E26" s="484">
        <v>2.9000000000000001E-2</v>
      </c>
      <c r="F26" s="483">
        <v>80.8767</v>
      </c>
      <c r="G26" s="770">
        <v>0.26688699999999999</v>
      </c>
      <c r="H26" s="771">
        <v>0.33310400000000001</v>
      </c>
      <c r="I26" s="771">
        <v>0.20542199999999999</v>
      </c>
      <c r="J26" s="772">
        <v>0.19458700000000001</v>
      </c>
      <c r="K26" s="768"/>
      <c r="L26" s="473"/>
      <c r="M26" s="479"/>
      <c r="N26" s="484"/>
      <c r="O26" s="484"/>
      <c r="P26" s="484"/>
      <c r="Q26" s="484"/>
    </row>
    <row r="27" spans="1:29" x14ac:dyDescent="0.25">
      <c r="A27" s="497"/>
      <c r="B27" s="499"/>
      <c r="C27" s="483"/>
      <c r="D27" s="498"/>
      <c r="E27" s="484"/>
      <c r="F27" s="483"/>
      <c r="G27" s="484"/>
      <c r="H27" s="484"/>
      <c r="I27" s="484"/>
      <c r="J27" s="484"/>
      <c r="K27" s="484"/>
      <c r="L27" s="473"/>
      <c r="M27" s="479"/>
      <c r="N27" s="484"/>
      <c r="O27" s="484"/>
      <c r="P27" s="484"/>
      <c r="Q27" s="484"/>
    </row>
    <row r="28" spans="1:29" x14ac:dyDescent="0.25">
      <c r="A28" s="487"/>
      <c r="B28" s="487"/>
      <c r="C28" s="487"/>
      <c r="D28" s="487"/>
      <c r="E28" s="487"/>
      <c r="F28" s="672" t="s">
        <v>247</v>
      </c>
      <c r="G28" s="498">
        <v>0.86</v>
      </c>
      <c r="H28" s="498">
        <v>1.1499999999999999</v>
      </c>
      <c r="I28" s="499">
        <v>1.44</v>
      </c>
      <c r="J28" s="499">
        <v>1.95</v>
      </c>
      <c r="K28" s="499"/>
      <c r="L28" s="477"/>
      <c r="N28" s="498"/>
      <c r="O28" s="498"/>
      <c r="P28" s="499"/>
      <c r="Q28" s="499"/>
    </row>
    <row r="29" spans="1:29" x14ac:dyDescent="0.25">
      <c r="A29" s="487"/>
      <c r="B29" s="487"/>
      <c r="C29" s="487"/>
      <c r="D29" s="487"/>
      <c r="E29" s="487"/>
      <c r="F29" s="515" t="s">
        <v>81</v>
      </c>
      <c r="G29" s="498">
        <v>1</v>
      </c>
      <c r="H29" s="498">
        <v>0.84</v>
      </c>
      <c r="I29" s="499">
        <v>0.66</v>
      </c>
      <c r="J29" s="499">
        <v>0.5</v>
      </c>
      <c r="K29" s="499"/>
      <c r="L29" s="477"/>
      <c r="N29" s="498"/>
      <c r="O29" s="498"/>
      <c r="P29" s="499"/>
      <c r="Q29" s="499"/>
    </row>
    <row r="30" spans="1:29" x14ac:dyDescent="0.25">
      <c r="A30" s="487"/>
      <c r="B30" s="487"/>
      <c r="C30" s="487"/>
      <c r="D30" s="487"/>
      <c r="E30" s="487"/>
      <c r="F30" s="515"/>
      <c r="G30" s="498"/>
      <c r="H30" s="498"/>
      <c r="I30" s="499"/>
      <c r="J30" s="499"/>
      <c r="K30" s="499"/>
      <c r="L30" s="499"/>
      <c r="M30" s="499"/>
      <c r="N30" s="487"/>
      <c r="O30" s="499"/>
      <c r="Q30" s="515"/>
      <c r="R30" s="498"/>
      <c r="S30" s="498"/>
      <c r="T30" s="499"/>
      <c r="U30" s="499"/>
      <c r="V30" s="477"/>
      <c r="W30" s="477"/>
      <c r="X30" s="477"/>
      <c r="Z30" s="498"/>
      <c r="AA30" s="498"/>
      <c r="AB30" s="499"/>
      <c r="AC30" s="499"/>
    </row>
    <row r="31" spans="1:29" x14ac:dyDescent="0.25">
      <c r="A31" s="487"/>
      <c r="B31" s="487"/>
      <c r="C31" s="487"/>
      <c r="D31" s="487"/>
      <c r="E31" s="487"/>
      <c r="F31" s="515"/>
      <c r="G31" s="498"/>
      <c r="H31" s="498"/>
      <c r="I31" s="499"/>
      <c r="J31" s="499"/>
      <c r="K31" s="499"/>
      <c r="L31" s="499"/>
      <c r="M31" s="499"/>
      <c r="N31" s="487"/>
      <c r="O31" s="499"/>
      <c r="Q31" s="515"/>
      <c r="R31" s="498"/>
      <c r="S31" s="498"/>
      <c r="T31" s="499"/>
      <c r="U31" s="499"/>
      <c r="V31" s="477"/>
      <c r="W31" s="477"/>
      <c r="X31" s="477"/>
      <c r="Z31" s="498"/>
      <c r="AA31" s="498"/>
      <c r="AB31" s="499"/>
      <c r="AC31" s="499"/>
    </row>
    <row r="32" spans="1:29" ht="18.75" x14ac:dyDescent="0.3">
      <c r="A32" s="469" t="s">
        <v>289</v>
      </c>
      <c r="B32" s="487"/>
      <c r="C32" s="487"/>
      <c r="D32" s="487"/>
      <c r="E32" s="487"/>
      <c r="F32" s="515"/>
      <c r="G32" s="498"/>
      <c r="H32" s="498"/>
      <c r="I32" s="499"/>
      <c r="J32" s="499"/>
      <c r="K32" s="499"/>
      <c r="L32" s="499"/>
      <c r="M32" s="499"/>
      <c r="N32" s="487"/>
      <c r="O32" s="499"/>
      <c r="Q32" s="515"/>
      <c r="R32" s="498"/>
      <c r="S32" s="498"/>
      <c r="T32" s="499"/>
      <c r="U32" s="499"/>
      <c r="V32" s="477"/>
      <c r="W32" s="477"/>
      <c r="X32" s="477"/>
      <c r="Z32" s="498"/>
      <c r="AA32" s="498"/>
      <c r="AB32" s="499"/>
      <c r="AC32" s="499"/>
    </row>
    <row r="33" spans="1:29" x14ac:dyDescent="0.25">
      <c r="A33" s="753"/>
      <c r="B33" s="494"/>
      <c r="C33" s="753"/>
      <c r="D33" s="493"/>
      <c r="E33" s="753"/>
      <c r="F33" s="476"/>
      <c r="G33" s="966" t="s">
        <v>162</v>
      </c>
      <c r="H33" s="966"/>
      <c r="I33" s="966"/>
      <c r="J33" s="966"/>
      <c r="K33" s="966"/>
      <c r="L33" s="966"/>
      <c r="M33" s="499"/>
      <c r="N33" s="487"/>
      <c r="O33" s="499"/>
      <c r="Q33" s="515"/>
      <c r="R33" s="498"/>
      <c r="S33" s="498"/>
      <c r="T33" s="499"/>
      <c r="U33" s="499"/>
      <c r="V33" s="477"/>
      <c r="W33" s="477"/>
      <c r="X33" s="477"/>
      <c r="Z33" s="498"/>
      <c r="AA33" s="498"/>
      <c r="AB33" s="499"/>
      <c r="AC33" s="499"/>
    </row>
    <row r="34" spans="1:29" x14ac:dyDescent="0.25">
      <c r="A34" s="753"/>
      <c r="B34" s="495"/>
      <c r="C34" s="753"/>
      <c r="D34" s="493"/>
      <c r="E34" s="753"/>
      <c r="F34" s="476"/>
      <c r="G34" s="763" t="s">
        <v>116</v>
      </c>
      <c r="H34" s="763"/>
      <c r="I34" s="763"/>
      <c r="J34" s="763"/>
      <c r="M34" s="499"/>
      <c r="N34" s="487"/>
      <c r="O34" s="499"/>
      <c r="Q34" s="515"/>
      <c r="R34" s="498"/>
      <c r="S34" s="498"/>
      <c r="T34" s="499"/>
      <c r="U34" s="499"/>
      <c r="V34" s="477"/>
      <c r="W34" s="477"/>
      <c r="X34" s="477"/>
      <c r="Z34" s="498"/>
      <c r="AA34" s="498"/>
      <c r="AB34" s="499"/>
      <c r="AC34" s="499"/>
    </row>
    <row r="35" spans="1:29" x14ac:dyDescent="0.25">
      <c r="A35" s="753" t="s">
        <v>161</v>
      </c>
      <c r="B35" s="753" t="s">
        <v>105</v>
      </c>
      <c r="C35" s="493" t="s">
        <v>15</v>
      </c>
      <c r="D35" s="753" t="s">
        <v>21</v>
      </c>
      <c r="E35" s="753" t="s">
        <v>16</v>
      </c>
      <c r="F35" s="753" t="s">
        <v>27</v>
      </c>
      <c r="G35" s="496" t="s">
        <v>112</v>
      </c>
      <c r="H35" s="496" t="s">
        <v>113</v>
      </c>
      <c r="I35" s="496" t="s">
        <v>114</v>
      </c>
      <c r="J35" s="496" t="s">
        <v>286</v>
      </c>
      <c r="K35" s="344" t="s">
        <v>284</v>
      </c>
      <c r="L35" s="496" t="s">
        <v>285</v>
      </c>
      <c r="M35" s="499"/>
      <c r="N35" s="487"/>
      <c r="O35" s="499"/>
      <c r="Q35" s="515"/>
      <c r="R35" s="498"/>
      <c r="S35" s="498"/>
      <c r="T35" s="499"/>
      <c r="U35" s="499"/>
      <c r="V35" s="477"/>
      <c r="W35" s="477"/>
      <c r="X35" s="477"/>
      <c r="Z35" s="498"/>
      <c r="AA35" s="498"/>
      <c r="AB35" s="499"/>
      <c r="AC35" s="499"/>
    </row>
    <row r="36" spans="1:29" x14ac:dyDescent="0.25">
      <c r="A36" s="497">
        <v>0</v>
      </c>
      <c r="B36" s="483">
        <v>0</v>
      </c>
      <c r="C36" s="484">
        <v>1</v>
      </c>
      <c r="D36" s="484">
        <v>1</v>
      </c>
      <c r="E36" s="484">
        <v>0</v>
      </c>
      <c r="F36" s="484">
        <v>0</v>
      </c>
      <c r="G36" s="764">
        <v>0.156</v>
      </c>
      <c r="H36" s="765">
        <v>0.33300000000000002</v>
      </c>
      <c r="I36" s="765">
        <v>0.25900000000000001</v>
      </c>
      <c r="J36" s="765">
        <v>0.115</v>
      </c>
      <c r="K36" s="773">
        <v>9.8000000000000004E-2</v>
      </c>
      <c r="L36" s="774">
        <v>3.9E-2</v>
      </c>
      <c r="M36" s="499"/>
      <c r="N36" s="487"/>
      <c r="O36" s="499"/>
      <c r="Q36" s="515"/>
      <c r="R36" s="498"/>
      <c r="S36" s="498"/>
      <c r="T36" s="499"/>
      <c r="U36" s="499"/>
      <c r="V36" s="477"/>
      <c r="W36" s="477"/>
      <c r="X36" s="477"/>
      <c r="Z36" s="498"/>
      <c r="AA36" s="498"/>
      <c r="AB36" s="499"/>
      <c r="AC36" s="499"/>
    </row>
    <row r="37" spans="1:29" x14ac:dyDescent="0.25">
      <c r="A37" s="497" t="s">
        <v>106</v>
      </c>
      <c r="B37" s="483">
        <v>6.6524299999999998</v>
      </c>
      <c r="C37" s="778">
        <v>1.26</v>
      </c>
      <c r="D37" s="484">
        <v>1.2188522727272726</v>
      </c>
      <c r="E37" s="484">
        <v>0.26</v>
      </c>
      <c r="F37" s="484">
        <v>0.16177559999999999</v>
      </c>
      <c r="G37" s="767">
        <v>0.20300000000000001</v>
      </c>
      <c r="H37" s="768">
        <v>0.34</v>
      </c>
      <c r="I37" s="768">
        <v>0.23499999999999999</v>
      </c>
      <c r="J37" s="768">
        <v>0.10299999999999999</v>
      </c>
      <c r="K37" s="538">
        <v>8.3000000000000004E-2</v>
      </c>
      <c r="L37" s="775">
        <v>3.5999999999999997E-2</v>
      </c>
      <c r="M37" s="499"/>
      <c r="N37" s="487"/>
      <c r="O37" s="499"/>
      <c r="Q37" s="515"/>
      <c r="R37" s="498"/>
      <c r="S37" s="498"/>
      <c r="T37" s="499"/>
      <c r="U37" s="499"/>
      <c r="V37" s="477"/>
      <c r="W37" s="477"/>
      <c r="X37" s="477"/>
      <c r="Z37" s="498"/>
      <c r="AA37" s="498"/>
      <c r="AB37" s="499"/>
      <c r="AC37" s="499"/>
    </row>
    <row r="38" spans="1:29" x14ac:dyDescent="0.25">
      <c r="A38" s="497" t="s">
        <v>98</v>
      </c>
      <c r="B38" s="483">
        <v>23.531600000000001</v>
      </c>
      <c r="C38" s="778">
        <v>1.59</v>
      </c>
      <c r="D38" s="484">
        <v>1.4715834843385969</v>
      </c>
      <c r="E38" s="484">
        <v>0.59000000000000008</v>
      </c>
      <c r="F38" s="484">
        <v>0.36434540000000004</v>
      </c>
      <c r="G38" s="767">
        <v>0.25600000000000001</v>
      </c>
      <c r="H38" s="768">
        <v>0.36699999999999999</v>
      </c>
      <c r="I38" s="768">
        <v>0.20200000000000001</v>
      </c>
      <c r="J38" s="768">
        <v>7.9000000000000001E-2</v>
      </c>
      <c r="K38" s="538">
        <v>6.7000000000000004E-2</v>
      </c>
      <c r="L38" s="775">
        <v>2.9000000000000001E-2</v>
      </c>
      <c r="M38" s="499"/>
      <c r="N38" s="487"/>
      <c r="O38" s="499"/>
      <c r="Q38" s="515"/>
      <c r="R38" s="498"/>
      <c r="S38" s="498"/>
      <c r="T38" s="499"/>
      <c r="U38" s="499"/>
      <c r="V38" s="477"/>
      <c r="W38" s="477"/>
      <c r="X38" s="477"/>
      <c r="Z38" s="498"/>
      <c r="AA38" s="498"/>
      <c r="AB38" s="499"/>
      <c r="AC38" s="499"/>
    </row>
    <row r="39" spans="1:29" x14ac:dyDescent="0.25">
      <c r="A39" s="497" t="s">
        <v>108</v>
      </c>
      <c r="B39" s="483">
        <v>33.539400000000001</v>
      </c>
      <c r="C39" s="778">
        <v>1.67</v>
      </c>
      <c r="D39" s="484">
        <v>1.5759781977511484</v>
      </c>
      <c r="E39" s="484">
        <v>0.66999999999999993</v>
      </c>
      <c r="F39" s="484">
        <v>0.43643019999999999</v>
      </c>
      <c r="G39" s="767">
        <v>0.24</v>
      </c>
      <c r="H39" s="768">
        <v>0.35399999999999998</v>
      </c>
      <c r="I39" s="768">
        <v>0.20100000000000001</v>
      </c>
      <c r="J39" s="768">
        <v>8.7999999999999995E-2</v>
      </c>
      <c r="K39" s="538">
        <v>8.5999999999999993E-2</v>
      </c>
      <c r="L39" s="775">
        <v>3.1E-2</v>
      </c>
      <c r="M39" s="499"/>
      <c r="N39" s="487"/>
      <c r="O39" s="499"/>
      <c r="Q39" s="515"/>
      <c r="R39" s="498"/>
      <c r="S39" s="498"/>
      <c r="T39" s="499"/>
      <c r="U39" s="499"/>
      <c r="V39" s="477"/>
      <c r="W39" s="477"/>
      <c r="X39" s="477"/>
      <c r="Z39" s="498"/>
      <c r="AA39" s="498"/>
      <c r="AB39" s="499"/>
      <c r="AC39" s="499"/>
    </row>
    <row r="40" spans="1:29" x14ac:dyDescent="0.25">
      <c r="A40" s="497" t="s">
        <v>109</v>
      </c>
      <c r="B40" s="483">
        <v>43.674599999999998</v>
      </c>
      <c r="C40" s="778">
        <v>1.98</v>
      </c>
      <c r="D40" s="484">
        <v>1.8480861506330766</v>
      </c>
      <c r="E40" s="484">
        <v>0.98</v>
      </c>
      <c r="F40" s="484">
        <v>0.64971879999999993</v>
      </c>
      <c r="G40" s="767">
        <v>0.254</v>
      </c>
      <c r="H40" s="768">
        <v>0.35</v>
      </c>
      <c r="I40" s="768">
        <v>0.21</v>
      </c>
      <c r="J40" s="768">
        <v>8.6999999999999994E-2</v>
      </c>
      <c r="K40" s="538">
        <v>6.3E-2</v>
      </c>
      <c r="L40" s="775">
        <v>3.5999999999999997E-2</v>
      </c>
      <c r="M40" s="499"/>
      <c r="N40" s="487"/>
      <c r="O40" s="499"/>
      <c r="Q40" s="515"/>
      <c r="R40" s="498"/>
      <c r="S40" s="498"/>
      <c r="T40" s="499"/>
      <c r="U40" s="499"/>
      <c r="V40" s="477"/>
      <c r="W40" s="477"/>
      <c r="X40" s="477"/>
      <c r="Z40" s="498"/>
      <c r="AA40" s="498"/>
      <c r="AB40" s="499"/>
      <c r="AC40" s="499"/>
    </row>
    <row r="41" spans="1:29" x14ac:dyDescent="0.25">
      <c r="A41" s="497" t="s">
        <v>287</v>
      </c>
      <c r="B41" s="483">
        <v>62</v>
      </c>
      <c r="C41" s="778">
        <v>2.2000000000000002</v>
      </c>
      <c r="D41" s="484">
        <v>2.0719764999867087</v>
      </c>
      <c r="E41" s="484">
        <v>1.2</v>
      </c>
      <c r="F41" s="484">
        <v>0.80649080000000017</v>
      </c>
      <c r="G41" s="770">
        <v>0.23799999999999999</v>
      </c>
      <c r="H41" s="771">
        <v>0.35699999999999998</v>
      </c>
      <c r="I41" s="771">
        <v>0.191</v>
      </c>
      <c r="J41" s="771">
        <v>7.6999999999999999E-2</v>
      </c>
      <c r="K41" s="776">
        <v>8.7999999999999995E-2</v>
      </c>
      <c r="L41" s="777">
        <v>4.9000000000000002E-2</v>
      </c>
      <c r="M41" s="499"/>
      <c r="N41" s="487"/>
      <c r="O41" s="499"/>
      <c r="Q41" s="515"/>
      <c r="R41" s="498"/>
      <c r="S41" s="498"/>
      <c r="T41" s="499"/>
      <c r="U41" s="499"/>
      <c r="V41" s="477"/>
      <c r="W41" s="477"/>
      <c r="X41" s="477"/>
      <c r="Z41" s="498"/>
      <c r="AA41" s="498"/>
      <c r="AB41" s="499"/>
      <c r="AC41" s="499"/>
    </row>
    <row r="42" spans="1:29" x14ac:dyDescent="0.25">
      <c r="A42" s="497"/>
      <c r="B42" s="483"/>
      <c r="C42" s="499"/>
      <c r="D42" s="483"/>
      <c r="E42" s="498"/>
      <c r="F42" s="484"/>
      <c r="G42" s="484"/>
      <c r="H42" s="484"/>
      <c r="I42" s="484"/>
      <c r="J42" s="484"/>
      <c r="L42" s="472"/>
      <c r="M42" s="499"/>
      <c r="N42" s="487"/>
      <c r="O42" s="499"/>
      <c r="Q42" s="515"/>
      <c r="R42" s="498"/>
      <c r="S42" s="498"/>
      <c r="T42" s="499"/>
      <c r="U42" s="499"/>
      <c r="V42" s="477"/>
      <c r="W42" s="477"/>
      <c r="X42" s="477"/>
      <c r="Z42" s="498"/>
      <c r="AA42" s="498"/>
      <c r="AB42" s="499"/>
      <c r="AC42" s="499"/>
    </row>
    <row r="43" spans="1:29" x14ac:dyDescent="0.25">
      <c r="A43" s="499"/>
      <c r="B43" s="499"/>
      <c r="C43" s="487"/>
      <c r="D43" s="499"/>
      <c r="F43" s="672" t="s">
        <v>247</v>
      </c>
      <c r="G43" s="498">
        <v>0.86</v>
      </c>
      <c r="H43" s="498">
        <v>1.1499999999999999</v>
      </c>
      <c r="I43" s="829">
        <v>1.44</v>
      </c>
      <c r="J43" s="829">
        <v>1.69</v>
      </c>
      <c r="K43" s="479">
        <v>1.96</v>
      </c>
      <c r="L43" s="479">
        <v>2.4700000000000002</v>
      </c>
      <c r="M43" s="829"/>
      <c r="N43" s="487"/>
      <c r="O43" s="499"/>
      <c r="Q43" s="515"/>
      <c r="R43" s="498"/>
      <c r="S43" s="498"/>
      <c r="T43" s="499"/>
      <c r="U43" s="499"/>
      <c r="V43" s="477"/>
      <c r="W43" s="477"/>
      <c r="X43" s="477"/>
      <c r="Z43" s="498"/>
      <c r="AA43" s="498"/>
      <c r="AB43" s="499"/>
      <c r="AC43" s="499"/>
    </row>
    <row r="44" spans="1:29" x14ac:dyDescent="0.25">
      <c r="A44" s="499"/>
      <c r="B44" s="499"/>
      <c r="C44" s="487"/>
      <c r="D44" s="499"/>
      <c r="F44" s="515" t="s">
        <v>81</v>
      </c>
      <c r="G44" s="498">
        <v>1</v>
      </c>
      <c r="H44" s="498">
        <v>0.84</v>
      </c>
      <c r="I44" s="829">
        <v>0.66</v>
      </c>
      <c r="J44" s="829">
        <v>0.5</v>
      </c>
      <c r="K44" s="479">
        <v>0.4</v>
      </c>
      <c r="L44" s="479">
        <v>0.3</v>
      </c>
      <c r="M44" s="829"/>
      <c r="N44" s="487"/>
      <c r="O44" s="499"/>
      <c r="Q44" s="515"/>
      <c r="R44" s="498"/>
      <c r="S44" s="498"/>
      <c r="T44" s="499"/>
      <c r="U44" s="499"/>
      <c r="V44" s="477"/>
      <c r="W44" s="477"/>
      <c r="X44" s="477"/>
      <c r="Z44" s="498"/>
      <c r="AA44" s="498"/>
      <c r="AB44" s="499"/>
      <c r="AC44" s="499"/>
    </row>
    <row r="45" spans="1:29" x14ac:dyDescent="0.25">
      <c r="G45" s="470"/>
      <c r="H45" s="470"/>
      <c r="I45" s="470"/>
      <c r="J45" s="470"/>
      <c r="K45" s="470"/>
      <c r="L45" s="470"/>
      <c r="M45" s="470"/>
    </row>
    <row r="46" spans="1:29" ht="18.75" x14ac:dyDescent="0.3">
      <c r="A46" s="469" t="s">
        <v>259</v>
      </c>
    </row>
    <row r="47" spans="1:29" x14ac:dyDescent="0.25">
      <c r="B47" s="493"/>
      <c r="C47" s="493"/>
      <c r="D47" s="493"/>
      <c r="E47" s="493"/>
      <c r="F47" s="493"/>
      <c r="G47" s="493"/>
      <c r="H47" s="493"/>
      <c r="I47" s="493"/>
      <c r="J47" s="493"/>
      <c r="K47" s="501"/>
      <c r="L47" s="501"/>
      <c r="M47" s="501"/>
      <c r="N47" s="501"/>
      <c r="O47" s="501"/>
      <c r="P47" s="501"/>
      <c r="Q47" s="501"/>
      <c r="R47" s="501"/>
      <c r="S47" s="501"/>
      <c r="T47" s="501"/>
    </row>
    <row r="48" spans="1:29" customFormat="1" x14ac:dyDescent="0.25">
      <c r="A48" s="197" t="s">
        <v>163</v>
      </c>
      <c r="B48" s="197" t="s">
        <v>54</v>
      </c>
      <c r="C48" s="4" t="s">
        <v>15</v>
      </c>
      <c r="D48" s="509" t="s">
        <v>21</v>
      </c>
      <c r="E48" s="197" t="s">
        <v>92</v>
      </c>
      <c r="F48" s="197" t="s">
        <v>16</v>
      </c>
      <c r="G48" s="197" t="s">
        <v>105</v>
      </c>
      <c r="I48" s="197" t="s">
        <v>68</v>
      </c>
      <c r="J48" s="197" t="s">
        <v>258</v>
      </c>
      <c r="K48" s="61"/>
      <c r="L48" s="61"/>
      <c r="M48" s="61"/>
      <c r="N48" s="344"/>
      <c r="O48" s="344"/>
    </row>
    <row r="49" spans="1:20" customFormat="1" x14ac:dyDescent="0.25">
      <c r="A49" s="7" t="s">
        <v>96</v>
      </c>
      <c r="B49" s="510">
        <v>0.54726185480486778</v>
      </c>
      <c r="C49" s="510">
        <v>1</v>
      </c>
      <c r="D49" s="511">
        <v>1</v>
      </c>
      <c r="E49" s="25">
        <v>1.7134176383642634E-3</v>
      </c>
      <c r="F49" s="510">
        <v>0</v>
      </c>
      <c r="G49" s="61">
        <v>0.6</v>
      </c>
      <c r="I49" s="61">
        <v>2</v>
      </c>
      <c r="J49" s="5">
        <v>0.5</v>
      </c>
      <c r="K49" s="5"/>
      <c r="L49" s="5"/>
      <c r="M49" s="5"/>
      <c r="N49" s="344"/>
      <c r="O49" s="344"/>
    </row>
    <row r="50" spans="1:20" customFormat="1" x14ac:dyDescent="0.25">
      <c r="A50" s="7" t="s">
        <v>117</v>
      </c>
      <c r="B50" s="510">
        <v>0.21459295006294588</v>
      </c>
      <c r="C50" s="510">
        <v>1.0047381919029477</v>
      </c>
      <c r="D50" s="511">
        <v>1</v>
      </c>
      <c r="E50" s="25">
        <v>3.5885964912280703E-3</v>
      </c>
      <c r="F50" s="510">
        <v>4.7381919029476638E-3</v>
      </c>
      <c r="G50" s="61">
        <v>10.75</v>
      </c>
      <c r="I50" s="61">
        <v>2</v>
      </c>
      <c r="J50" s="5">
        <v>0.7</v>
      </c>
      <c r="K50" s="510"/>
      <c r="N50" s="344"/>
      <c r="O50" s="344"/>
    </row>
    <row r="51" spans="1:20" customFormat="1" x14ac:dyDescent="0.25">
      <c r="A51" s="7" t="s">
        <v>119</v>
      </c>
      <c r="B51" s="510">
        <v>0.11151909357952161</v>
      </c>
      <c r="C51" s="510">
        <v>1.014853188946508</v>
      </c>
      <c r="D51" s="511">
        <v>1</v>
      </c>
      <c r="E51" s="25">
        <v>3.9887429643527201E-3</v>
      </c>
      <c r="F51" s="510">
        <v>1.4853188946508E-2</v>
      </c>
      <c r="G51" s="61">
        <v>31.7</v>
      </c>
      <c r="I51" s="61">
        <v>4</v>
      </c>
      <c r="J51" s="5">
        <v>0.5</v>
      </c>
      <c r="K51" s="510"/>
      <c r="N51" s="344"/>
      <c r="O51" s="344"/>
    </row>
    <row r="52" spans="1:20" customFormat="1" x14ac:dyDescent="0.25">
      <c r="A52" s="7" t="s">
        <v>120</v>
      </c>
      <c r="B52" s="510">
        <v>6.1214855224506926E-2</v>
      </c>
      <c r="C52" s="510">
        <v>1.0330315953522968</v>
      </c>
      <c r="D52" s="511">
        <v>1</v>
      </c>
      <c r="E52" s="25">
        <v>4.5408560311284048E-3</v>
      </c>
      <c r="F52" s="510">
        <v>3.3031595352296828E-2</v>
      </c>
      <c r="G52" s="61">
        <v>70.099999999999994</v>
      </c>
      <c r="I52" s="61">
        <v>4</v>
      </c>
      <c r="J52" s="5">
        <v>0.7</v>
      </c>
      <c r="K52" s="510"/>
      <c r="L52" s="510"/>
      <c r="M52" s="510"/>
      <c r="N52" s="344"/>
      <c r="O52" s="344"/>
    </row>
    <row r="53" spans="1:20" customFormat="1" x14ac:dyDescent="0.25">
      <c r="A53" s="7" t="s">
        <v>118</v>
      </c>
      <c r="B53" s="510">
        <v>4.1701636592530421E-2</v>
      </c>
      <c r="C53" s="510">
        <v>1.0627103346329041</v>
      </c>
      <c r="D53" s="511">
        <v>1</v>
      </c>
      <c r="E53" s="25">
        <v>5.6382978723404252E-3</v>
      </c>
      <c r="F53" s="510">
        <v>6.2710334632904097E-2</v>
      </c>
      <c r="G53" s="61">
        <v>146.9</v>
      </c>
      <c r="I53" s="38"/>
      <c r="J53" s="510"/>
      <c r="K53" s="510"/>
      <c r="L53" s="510"/>
      <c r="M53" s="510"/>
      <c r="N53" s="512"/>
      <c r="O53" s="512"/>
    </row>
    <row r="54" spans="1:20" customFormat="1" x14ac:dyDescent="0.25">
      <c r="A54" s="7" t="s">
        <v>121</v>
      </c>
      <c r="B54" s="510">
        <v>1.2641628199748216E-2</v>
      </c>
      <c r="C54" s="510">
        <v>1.1372769650163048</v>
      </c>
      <c r="D54" s="511">
        <v>1</v>
      </c>
      <c r="E54" s="25">
        <v>6.1794871794871795E-3</v>
      </c>
      <c r="F54" s="510">
        <v>0.13727696501630482</v>
      </c>
      <c r="G54" s="61">
        <v>240.6</v>
      </c>
      <c r="K54" s="38"/>
      <c r="L54" s="510"/>
      <c r="M54" s="510"/>
      <c r="N54" s="510"/>
      <c r="O54" s="510"/>
      <c r="P54" s="512"/>
      <c r="Q54" s="512"/>
    </row>
    <row r="55" spans="1:20" customFormat="1" x14ac:dyDescent="0.25">
      <c r="A55" s="7" t="s">
        <v>122</v>
      </c>
      <c r="B55" s="510">
        <v>6.399496433067562E-3</v>
      </c>
      <c r="C55" s="510">
        <v>1.16019842257464</v>
      </c>
      <c r="D55" s="511">
        <v>1</v>
      </c>
      <c r="E55" s="25">
        <v>8.7142857142857143E-3</v>
      </c>
      <c r="F55" s="510">
        <v>0.16019842257464001</v>
      </c>
      <c r="G55" s="61">
        <v>341.4</v>
      </c>
      <c r="K55" s="38"/>
      <c r="L55" s="510"/>
      <c r="M55" s="61"/>
      <c r="N55" s="510"/>
      <c r="O55" s="510"/>
      <c r="P55" s="512"/>
      <c r="Q55" s="512"/>
    </row>
    <row r="56" spans="1:20" customFormat="1" x14ac:dyDescent="0.25">
      <c r="A56" s="7" t="s">
        <v>123</v>
      </c>
      <c r="B56" s="510">
        <v>2.570289550986152E-3</v>
      </c>
      <c r="C56" s="510">
        <v>1.2274345405351776</v>
      </c>
      <c r="D56" s="511">
        <v>1</v>
      </c>
      <c r="E56" s="25">
        <v>9.7999999999999997E-3</v>
      </c>
      <c r="F56" s="510">
        <v>0.22743454053517764</v>
      </c>
      <c r="G56" s="61">
        <v>442.3</v>
      </c>
      <c r="K56" s="38"/>
      <c r="L56" s="510"/>
      <c r="M56" s="61"/>
      <c r="N56" s="510"/>
      <c r="O56" s="510"/>
      <c r="P56" s="512"/>
      <c r="Q56" s="512"/>
    </row>
    <row r="57" spans="1:20" customFormat="1" x14ac:dyDescent="0.25">
      <c r="A57" s="7" t="s">
        <v>124</v>
      </c>
      <c r="B57" s="510">
        <v>2.0981955518254302E-3</v>
      </c>
      <c r="C57" s="510">
        <v>1.3238177636803241</v>
      </c>
      <c r="D57" s="511">
        <v>1</v>
      </c>
      <c r="E57" s="25">
        <v>0.01</v>
      </c>
      <c r="F57" s="510">
        <v>0.32381776368032411</v>
      </c>
      <c r="G57" s="61">
        <v>630.79999999999995</v>
      </c>
      <c r="K57" s="38"/>
      <c r="L57" s="510"/>
      <c r="M57" s="61"/>
      <c r="N57" s="510"/>
      <c r="O57" s="510"/>
      <c r="P57" s="512"/>
      <c r="Q57" s="512"/>
    </row>
    <row r="58" spans="1:20" x14ac:dyDescent="0.25">
      <c r="K58" s="501"/>
      <c r="L58" s="501"/>
      <c r="M58" s="501"/>
      <c r="N58" s="501"/>
      <c r="O58" s="501"/>
      <c r="P58" s="501"/>
      <c r="Q58" s="501"/>
      <c r="R58" s="501"/>
      <c r="S58" s="501"/>
      <c r="T58" s="501"/>
    </row>
    <row r="59" spans="1:20" ht="18.75" x14ac:dyDescent="0.3">
      <c r="A59" s="469" t="s">
        <v>260</v>
      </c>
      <c r="J59" s="501"/>
      <c r="K59" s="502"/>
      <c r="L59" s="502"/>
      <c r="M59" s="502"/>
      <c r="N59" s="502"/>
      <c r="O59" s="502"/>
      <c r="P59" s="502"/>
      <c r="Q59" s="502"/>
      <c r="R59" s="502"/>
      <c r="S59" s="502"/>
    </row>
    <row r="60" spans="1:20" x14ac:dyDescent="0.25">
      <c r="K60" s="502"/>
      <c r="L60" s="502"/>
      <c r="M60" s="502"/>
      <c r="N60" s="502"/>
      <c r="O60" s="502"/>
      <c r="P60" s="502"/>
      <c r="Q60" s="502"/>
      <c r="R60" s="502"/>
      <c r="S60" s="502"/>
    </row>
    <row r="61" spans="1:20" x14ac:dyDescent="0.25">
      <c r="A61" s="583" t="s">
        <v>130</v>
      </c>
      <c r="B61" s="583" t="s">
        <v>15</v>
      </c>
      <c r="C61" s="583" t="s">
        <v>21</v>
      </c>
      <c r="D61" s="493"/>
      <c r="E61" s="197" t="s">
        <v>68</v>
      </c>
      <c r="F61" s="197" t="s">
        <v>258</v>
      </c>
      <c r="H61" s="149"/>
      <c r="K61" s="149"/>
      <c r="L61" s="149"/>
      <c r="M61" s="149"/>
    </row>
    <row r="62" spans="1:20" ht="18.75" x14ac:dyDescent="0.3">
      <c r="A62" s="513" t="s">
        <v>129</v>
      </c>
      <c r="B62" s="514">
        <v>1</v>
      </c>
      <c r="C62" s="514">
        <v>1</v>
      </c>
      <c r="D62" s="505" t="s">
        <v>166</v>
      </c>
      <c r="E62" s="149">
        <v>10</v>
      </c>
      <c r="F62" s="149">
        <v>5</v>
      </c>
      <c r="H62" s="150"/>
      <c r="K62" s="150"/>
      <c r="L62" s="150"/>
      <c r="M62" s="150"/>
    </row>
    <row r="63" spans="1:20" x14ac:dyDescent="0.25">
      <c r="A63" s="504" t="s">
        <v>126</v>
      </c>
      <c r="B63" s="503">
        <v>0.99</v>
      </c>
      <c r="C63" s="503">
        <v>1.1100000000000001</v>
      </c>
      <c r="D63" s="501"/>
      <c r="E63" s="506">
        <v>10</v>
      </c>
      <c r="F63" s="507">
        <v>0.01</v>
      </c>
      <c r="H63" s="354"/>
    </row>
    <row r="64" spans="1:20" x14ac:dyDescent="0.25">
      <c r="A64" s="504" t="s">
        <v>127</v>
      </c>
      <c r="B64" s="503">
        <v>1.25</v>
      </c>
      <c r="C64" s="503">
        <v>1.44</v>
      </c>
      <c r="D64" s="501"/>
      <c r="E64" s="149">
        <v>20</v>
      </c>
      <c r="F64" s="150">
        <v>0.01</v>
      </c>
      <c r="H64" s="354"/>
    </row>
    <row r="65" spans="1:11" x14ac:dyDescent="0.25">
      <c r="A65" s="504" t="s">
        <v>128</v>
      </c>
      <c r="B65" s="503">
        <v>1.62</v>
      </c>
      <c r="C65" s="503">
        <v>1.92</v>
      </c>
      <c r="D65" s="501"/>
      <c r="E65" s="149">
        <v>5</v>
      </c>
      <c r="F65" s="150">
        <v>0.05</v>
      </c>
      <c r="H65" s="354"/>
    </row>
    <row r="66" spans="1:11" x14ac:dyDescent="0.25">
      <c r="A66" s="501"/>
      <c r="B66" s="501"/>
      <c r="C66" s="501"/>
      <c r="D66" s="501"/>
      <c r="E66" s="149">
        <v>10</v>
      </c>
      <c r="F66" s="150">
        <v>0.05</v>
      </c>
    </row>
    <row r="67" spans="1:11" x14ac:dyDescent="0.25">
      <c r="A67" s="504" t="s">
        <v>125</v>
      </c>
      <c r="B67" s="508">
        <v>1.68</v>
      </c>
      <c r="C67" s="508">
        <v>1.47</v>
      </c>
      <c r="D67" s="501"/>
      <c r="E67" s="149">
        <v>5</v>
      </c>
      <c r="F67" s="150">
        <v>0.1</v>
      </c>
    </row>
    <row r="68" spans="1:11" x14ac:dyDescent="0.25">
      <c r="A68" s="501"/>
      <c r="B68" s="501"/>
      <c r="C68" s="501"/>
      <c r="D68" s="501"/>
      <c r="E68" s="149">
        <v>10</v>
      </c>
      <c r="F68" s="150">
        <v>0.1</v>
      </c>
      <c r="K68" s="344" t="s">
        <v>155</v>
      </c>
    </row>
    <row r="69" spans="1:11" x14ac:dyDescent="0.25">
      <c r="B69" s="501"/>
      <c r="C69" s="501"/>
      <c r="D69" s="501"/>
      <c r="E69" s="149">
        <v>2</v>
      </c>
      <c r="F69" s="150">
        <v>0.3</v>
      </c>
    </row>
    <row r="70" spans="1:11" x14ac:dyDescent="0.25">
      <c r="E70" s="149">
        <v>5</v>
      </c>
      <c r="F70" s="150">
        <v>0.3</v>
      </c>
    </row>
    <row r="72" spans="1:11" ht="18.75" x14ac:dyDescent="0.25">
      <c r="A72" s="233" t="s">
        <v>328</v>
      </c>
    </row>
  </sheetData>
  <sheetProtection password="B8FF" sheet="1" objects="1" scenarios="1" formatCells="0" formatColumns="0" formatRows="0"/>
  <mergeCells count="8">
    <mergeCell ref="G5:H5"/>
    <mergeCell ref="J5:K5"/>
    <mergeCell ref="A2:K2"/>
    <mergeCell ref="G33:L33"/>
    <mergeCell ref="N17:Q17"/>
    <mergeCell ref="N18:Q18"/>
    <mergeCell ref="G17:J17"/>
    <mergeCell ref="G18:J1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158"/>
  <sheetViews>
    <sheetView workbookViewId="0"/>
  </sheetViews>
  <sheetFormatPr defaultRowHeight="15" x14ac:dyDescent="0.25"/>
  <cols>
    <col min="1" max="1" width="11.28515625" customWidth="1"/>
    <col min="10" max="11" width="10.5703125" bestFit="1" customWidth="1"/>
    <col min="12" max="12" width="10.7109375" customWidth="1"/>
  </cols>
  <sheetData>
    <row r="1" spans="1:21" ht="18.75" x14ac:dyDescent="0.3">
      <c r="A1" s="1" t="s">
        <v>169</v>
      </c>
      <c r="D1" s="517" t="s">
        <v>228</v>
      </c>
      <c r="E1" s="12">
        <v>0.04</v>
      </c>
      <c r="F1" s="12">
        <v>0.6</v>
      </c>
      <c r="G1" s="12">
        <f>(F1-E1)/15</f>
        <v>3.7333333333333329E-2</v>
      </c>
      <c r="H1">
        <f>(F1-E1)/20</f>
        <v>2.7999999999999997E-2</v>
      </c>
      <c r="I1">
        <v>0.1</v>
      </c>
    </row>
    <row r="2" spans="1:21" ht="18.75" x14ac:dyDescent="0.3">
      <c r="A2" s="1"/>
      <c r="C2" s="518" t="s">
        <v>230</v>
      </c>
      <c r="D2" s="197">
        <v>0</v>
      </c>
      <c r="E2" s="197">
        <v>1</v>
      </c>
      <c r="F2" s="197">
        <v>2</v>
      </c>
      <c r="G2" s="197">
        <v>0</v>
      </c>
      <c r="H2" s="197">
        <v>0</v>
      </c>
      <c r="I2" s="197">
        <v>0</v>
      </c>
      <c r="J2" s="197">
        <v>0</v>
      </c>
      <c r="K2" s="197">
        <v>0</v>
      </c>
      <c r="L2" s="197">
        <v>0</v>
      </c>
      <c r="M2" s="197">
        <v>0</v>
      </c>
    </row>
    <row r="3" spans="1:21" ht="18.75" x14ac:dyDescent="0.3">
      <c r="A3" s="1"/>
      <c r="C3" s="518" t="s">
        <v>81</v>
      </c>
      <c r="D3" s="12">
        <v>1</v>
      </c>
      <c r="E3" s="12">
        <f>EXP($I$1*E2)</f>
        <v>1.1051709180756477</v>
      </c>
      <c r="F3" s="12">
        <f t="shared" ref="F3:M3" si="0">EXP($I$1*F2)</f>
        <v>1.2214027581601699</v>
      </c>
      <c r="G3" s="12">
        <f t="shared" si="0"/>
        <v>1</v>
      </c>
      <c r="H3" s="12">
        <f t="shared" si="0"/>
        <v>1</v>
      </c>
      <c r="I3" s="12">
        <f t="shared" si="0"/>
        <v>1</v>
      </c>
      <c r="J3" s="12">
        <f t="shared" si="0"/>
        <v>1</v>
      </c>
      <c r="K3" s="12">
        <f t="shared" si="0"/>
        <v>1</v>
      </c>
      <c r="L3" s="12">
        <f t="shared" si="0"/>
        <v>1</v>
      </c>
      <c r="M3" s="12">
        <f t="shared" si="0"/>
        <v>1</v>
      </c>
      <c r="P3" t="s">
        <v>229</v>
      </c>
      <c r="Q3" s="7">
        <v>0.2</v>
      </c>
    </row>
    <row r="4" spans="1:21" ht="15.75" x14ac:dyDescent="0.25">
      <c r="D4" s="516" t="s">
        <v>227</v>
      </c>
    </row>
    <row r="5" spans="1:21" ht="15.75" x14ac:dyDescent="0.25">
      <c r="A5" s="9" t="s">
        <v>176</v>
      </c>
      <c r="B5" s="516" t="s">
        <v>54</v>
      </c>
      <c r="C5" s="516" t="s">
        <v>31</v>
      </c>
      <c r="D5" s="516">
        <v>0</v>
      </c>
      <c r="E5" s="516">
        <v>1</v>
      </c>
      <c r="F5" s="516">
        <v>2</v>
      </c>
      <c r="G5" s="516">
        <v>3</v>
      </c>
      <c r="H5" s="516">
        <v>4</v>
      </c>
      <c r="I5" s="516">
        <v>5</v>
      </c>
      <c r="J5" s="516">
        <v>6</v>
      </c>
      <c r="K5" s="516">
        <v>7</v>
      </c>
      <c r="L5" s="516">
        <v>8</v>
      </c>
      <c r="M5" s="516">
        <v>9</v>
      </c>
      <c r="N5" s="516" t="s">
        <v>3</v>
      </c>
      <c r="O5" s="516"/>
      <c r="P5" s="516" t="s">
        <v>176</v>
      </c>
      <c r="Q5" s="516" t="s">
        <v>15</v>
      </c>
      <c r="R5" s="516" t="s">
        <v>92</v>
      </c>
      <c r="T5" s="516" t="s">
        <v>16</v>
      </c>
      <c r="U5" s="516" t="s">
        <v>92</v>
      </c>
    </row>
    <row r="6" spans="1:21" x14ac:dyDescent="0.25">
      <c r="A6" s="9">
        <v>0</v>
      </c>
      <c r="B6" s="16">
        <v>4.4999999999999998E-2</v>
      </c>
      <c r="C6" s="61">
        <f>A6</f>
        <v>0</v>
      </c>
      <c r="D6" s="29">
        <v>0.1</v>
      </c>
      <c r="E6" s="30">
        <v>0.2</v>
      </c>
      <c r="F6" s="30">
        <v>0.7</v>
      </c>
      <c r="G6" s="170"/>
      <c r="H6" s="170"/>
      <c r="I6" s="170"/>
      <c r="J6" s="170"/>
      <c r="K6" s="170"/>
      <c r="L6" s="170"/>
      <c r="M6" s="527"/>
      <c r="N6" s="523">
        <f>SUM(D6:M6)</f>
        <v>1</v>
      </c>
      <c r="P6" s="197">
        <v>0</v>
      </c>
      <c r="Q6" s="510">
        <f>1+$Q$3*P6</f>
        <v>1</v>
      </c>
      <c r="R6" s="7">
        <v>0.5</v>
      </c>
      <c r="T6" s="510">
        <f>$Q$3*P6</f>
        <v>0</v>
      </c>
      <c r="U6" s="7">
        <v>0.5</v>
      </c>
    </row>
    <row r="7" spans="1:21" x14ac:dyDescent="0.25">
      <c r="A7" s="9">
        <v>1</v>
      </c>
      <c r="B7" s="17">
        <f>B6*(1+$G$1)</f>
        <v>4.6679999999999992E-2</v>
      </c>
      <c r="C7" s="61">
        <f t="shared" ref="C7:C21" si="1">A7</f>
        <v>1</v>
      </c>
      <c r="D7" s="32">
        <v>0.10333333333333335</v>
      </c>
      <c r="E7" s="33">
        <v>0.20666666666666669</v>
      </c>
      <c r="F7" s="33">
        <v>0.69</v>
      </c>
      <c r="G7" s="11"/>
      <c r="H7" s="11"/>
      <c r="I7" s="11"/>
      <c r="J7" s="11"/>
      <c r="K7" s="11"/>
      <c r="L7" s="11"/>
      <c r="M7" s="519"/>
      <c r="N7" s="524">
        <f t="shared" ref="N7:N21" si="2">SUM(D7:M7)</f>
        <v>1</v>
      </c>
      <c r="P7" s="197">
        <v>1</v>
      </c>
      <c r="Q7" s="510">
        <f t="shared" ref="Q7:Q21" si="3">1+$Q$3*P7</f>
        <v>1.2</v>
      </c>
      <c r="R7" s="7">
        <v>0.5</v>
      </c>
      <c r="T7" s="510">
        <f t="shared" ref="T7:T21" si="4">$Q$3*P7</f>
        <v>0.2</v>
      </c>
      <c r="U7" s="7">
        <v>0.5</v>
      </c>
    </row>
    <row r="8" spans="1:21" x14ac:dyDescent="0.25">
      <c r="A8" s="9">
        <v>2</v>
      </c>
      <c r="B8" s="17">
        <f t="shared" ref="B8:B20" si="5">B7*(1+$G$1)</f>
        <v>4.8422719999999989E-2</v>
      </c>
      <c r="C8" s="61">
        <f t="shared" si="1"/>
        <v>2</v>
      </c>
      <c r="D8" s="32">
        <v>0.1067777777777778</v>
      </c>
      <c r="E8" s="33">
        <v>0.21355555555555561</v>
      </c>
      <c r="F8" s="33">
        <v>0.67966666666666664</v>
      </c>
      <c r="G8" s="11"/>
      <c r="H8" s="11"/>
      <c r="I8" s="11"/>
      <c r="J8" s="11"/>
      <c r="K8" s="11"/>
      <c r="L8" s="11"/>
      <c r="M8" s="519"/>
      <c r="N8" s="524">
        <f t="shared" si="2"/>
        <v>1</v>
      </c>
      <c r="P8" s="197">
        <v>2</v>
      </c>
      <c r="Q8" s="510">
        <f t="shared" si="3"/>
        <v>1.4</v>
      </c>
      <c r="R8" s="7">
        <v>0.5</v>
      </c>
      <c r="T8" s="510">
        <f t="shared" si="4"/>
        <v>0.4</v>
      </c>
      <c r="U8" s="7">
        <v>0.5</v>
      </c>
    </row>
    <row r="9" spans="1:21" x14ac:dyDescent="0.25">
      <c r="A9" s="9">
        <v>3</v>
      </c>
      <c r="B9" s="17">
        <f t="shared" si="5"/>
        <v>5.0230501546666646E-2</v>
      </c>
      <c r="C9" s="61">
        <f t="shared" si="1"/>
        <v>3</v>
      </c>
      <c r="D9" s="32">
        <v>0.11033703703703708</v>
      </c>
      <c r="E9" s="33">
        <v>0.22067407407407416</v>
      </c>
      <c r="F9" s="33">
        <v>0.66898888888888874</v>
      </c>
      <c r="G9" s="11"/>
      <c r="H9" s="11"/>
      <c r="I9" s="11"/>
      <c r="J9" s="11"/>
      <c r="K9" s="11"/>
      <c r="L9" s="11"/>
      <c r="M9" s="519"/>
      <c r="N9" s="524">
        <f t="shared" si="2"/>
        <v>1</v>
      </c>
      <c r="P9" s="197">
        <v>3</v>
      </c>
      <c r="Q9" s="510">
        <f t="shared" si="3"/>
        <v>1.6</v>
      </c>
      <c r="R9" s="7">
        <v>0.5</v>
      </c>
      <c r="T9" s="510">
        <f t="shared" si="4"/>
        <v>0.60000000000000009</v>
      </c>
      <c r="U9" s="7">
        <v>0.5</v>
      </c>
    </row>
    <row r="10" spans="1:21" x14ac:dyDescent="0.25">
      <c r="A10" s="9">
        <v>4</v>
      </c>
      <c r="B10" s="17">
        <f t="shared" si="5"/>
        <v>5.2105773604408864E-2</v>
      </c>
      <c r="C10" s="61">
        <f t="shared" si="1"/>
        <v>4</v>
      </c>
      <c r="D10" s="32">
        <v>0.114014938271605</v>
      </c>
      <c r="E10" s="33">
        <v>0.22802987654321</v>
      </c>
      <c r="F10" s="33">
        <v>0.65795518518518503</v>
      </c>
      <c r="G10" s="11"/>
      <c r="H10" s="11"/>
      <c r="I10" s="11"/>
      <c r="J10" s="11"/>
      <c r="K10" s="11"/>
      <c r="L10" s="11"/>
      <c r="M10" s="519"/>
      <c r="N10" s="524">
        <f t="shared" si="2"/>
        <v>1</v>
      </c>
      <c r="P10" s="197">
        <v>4</v>
      </c>
      <c r="Q10" s="510">
        <f t="shared" si="3"/>
        <v>1.8</v>
      </c>
      <c r="R10" s="7">
        <v>0.5</v>
      </c>
      <c r="T10" s="510">
        <f t="shared" si="4"/>
        <v>0.8</v>
      </c>
      <c r="U10" s="7">
        <v>0.5</v>
      </c>
    </row>
    <row r="11" spans="1:21" x14ac:dyDescent="0.25">
      <c r="A11" s="9">
        <v>5</v>
      </c>
      <c r="B11" s="17">
        <f t="shared" si="5"/>
        <v>5.4051055818973459E-2</v>
      </c>
      <c r="C11" s="61">
        <f t="shared" si="1"/>
        <v>5</v>
      </c>
      <c r="D11" s="32">
        <v>0.11781543621399185</v>
      </c>
      <c r="E11" s="33">
        <v>0.2356308724279837</v>
      </c>
      <c r="F11" s="33">
        <v>0.64655369135802443</v>
      </c>
      <c r="G11" s="11"/>
      <c r="H11" s="11"/>
      <c r="I11" s="11"/>
      <c r="J11" s="11"/>
      <c r="K11" s="11"/>
      <c r="L11" s="11"/>
      <c r="M11" s="519"/>
      <c r="N11" s="524">
        <f t="shared" si="2"/>
        <v>1</v>
      </c>
      <c r="P11" s="197">
        <v>5</v>
      </c>
      <c r="Q11" s="510">
        <f t="shared" si="3"/>
        <v>2</v>
      </c>
      <c r="R11" s="7">
        <v>0.5</v>
      </c>
      <c r="T11" s="510">
        <f t="shared" si="4"/>
        <v>1</v>
      </c>
      <c r="U11" s="7">
        <v>0.5</v>
      </c>
    </row>
    <row r="12" spans="1:21" x14ac:dyDescent="0.25">
      <c r="A12" s="9">
        <v>6</v>
      </c>
      <c r="B12" s="17">
        <f t="shared" si="5"/>
        <v>5.6068961902881798E-2</v>
      </c>
      <c r="C12" s="61">
        <f t="shared" si="1"/>
        <v>6</v>
      </c>
      <c r="D12" s="32">
        <v>0.12174261742112492</v>
      </c>
      <c r="E12" s="33">
        <v>0.24348523484224985</v>
      </c>
      <c r="F12" s="33">
        <v>0.63477214773662527</v>
      </c>
      <c r="G12" s="11"/>
      <c r="H12" s="11"/>
      <c r="I12" s="11"/>
      <c r="J12" s="11"/>
      <c r="K12" s="11"/>
      <c r="L12" s="11"/>
      <c r="M12" s="519"/>
      <c r="N12" s="524">
        <f t="shared" si="2"/>
        <v>1</v>
      </c>
      <c r="P12" s="197">
        <v>6</v>
      </c>
      <c r="Q12" s="510">
        <f t="shared" si="3"/>
        <v>2.2000000000000002</v>
      </c>
      <c r="R12" s="7">
        <v>0.5</v>
      </c>
      <c r="T12" s="510">
        <f t="shared" si="4"/>
        <v>1.2000000000000002</v>
      </c>
      <c r="U12" s="7">
        <v>0.5</v>
      </c>
    </row>
    <row r="13" spans="1:21" x14ac:dyDescent="0.25">
      <c r="A13" s="9">
        <v>7</v>
      </c>
      <c r="B13" s="17">
        <f t="shared" si="5"/>
        <v>5.8162203147256043E-2</v>
      </c>
      <c r="C13" s="61">
        <f t="shared" si="1"/>
        <v>7</v>
      </c>
      <c r="D13" s="32">
        <v>0.12580070466849577</v>
      </c>
      <c r="E13" s="33">
        <v>0.25160140933699154</v>
      </c>
      <c r="F13" s="33">
        <v>0.62259788599451271</v>
      </c>
      <c r="G13" s="11"/>
      <c r="H13" s="11"/>
      <c r="I13" s="11"/>
      <c r="J13" s="11"/>
      <c r="K13" s="11"/>
      <c r="L13" s="11"/>
      <c r="M13" s="519"/>
      <c r="N13" s="524">
        <f t="shared" si="2"/>
        <v>1</v>
      </c>
      <c r="P13" s="197">
        <v>7</v>
      </c>
      <c r="Q13" s="510">
        <f t="shared" si="3"/>
        <v>2.4000000000000004</v>
      </c>
      <c r="R13" s="7">
        <v>0.5</v>
      </c>
      <c r="T13" s="510">
        <f t="shared" si="4"/>
        <v>1.4000000000000001</v>
      </c>
      <c r="U13" s="7">
        <v>0.5</v>
      </c>
    </row>
    <row r="14" spans="1:21" x14ac:dyDescent="0.25">
      <c r="A14" s="9">
        <v>8</v>
      </c>
      <c r="B14" s="17">
        <f t="shared" si="5"/>
        <v>6.0333592064753597E-2</v>
      </c>
      <c r="C14" s="61">
        <f t="shared" si="1"/>
        <v>8</v>
      </c>
      <c r="D14" s="32">
        <v>0.12999406149077897</v>
      </c>
      <c r="E14" s="33">
        <v>0.25998812298155793</v>
      </c>
      <c r="F14" s="33">
        <v>0.6100178155276631</v>
      </c>
      <c r="G14" s="11"/>
      <c r="H14" s="11"/>
      <c r="I14" s="11"/>
      <c r="J14" s="11"/>
      <c r="K14" s="11"/>
      <c r="L14" s="11"/>
      <c r="M14" s="519"/>
      <c r="N14" s="524">
        <f t="shared" si="2"/>
        <v>1</v>
      </c>
      <c r="P14" s="197">
        <v>8</v>
      </c>
      <c r="Q14" s="510">
        <f t="shared" si="3"/>
        <v>2.6</v>
      </c>
      <c r="R14" s="7">
        <v>0.5</v>
      </c>
      <c r="T14" s="510">
        <f t="shared" si="4"/>
        <v>1.6</v>
      </c>
      <c r="U14" s="7">
        <v>0.5</v>
      </c>
    </row>
    <row r="15" spans="1:21" x14ac:dyDescent="0.25">
      <c r="A15" s="9">
        <v>9</v>
      </c>
      <c r="B15" s="17">
        <f t="shared" si="5"/>
        <v>6.2586046168504397E-2</v>
      </c>
      <c r="C15" s="61">
        <f t="shared" si="1"/>
        <v>9</v>
      </c>
      <c r="D15" s="32">
        <v>0.13432719687380495</v>
      </c>
      <c r="E15" s="33">
        <v>0.26865439374760991</v>
      </c>
      <c r="F15" s="33">
        <v>0.59701840937858508</v>
      </c>
      <c r="G15" s="11"/>
      <c r="H15" s="11"/>
      <c r="I15" s="11"/>
      <c r="J15" s="11"/>
      <c r="K15" s="11"/>
      <c r="L15" s="11"/>
      <c r="M15" s="519"/>
      <c r="N15" s="524">
        <f t="shared" si="2"/>
        <v>1</v>
      </c>
      <c r="P15" s="197">
        <v>9</v>
      </c>
      <c r="Q15" s="510">
        <f t="shared" si="3"/>
        <v>2.8</v>
      </c>
      <c r="R15" s="7">
        <v>0.5</v>
      </c>
      <c r="T15" s="510">
        <f t="shared" si="4"/>
        <v>1.8</v>
      </c>
      <c r="U15" s="7">
        <v>0.5</v>
      </c>
    </row>
    <row r="16" spans="1:21" x14ac:dyDescent="0.25">
      <c r="A16" s="9">
        <v>10</v>
      </c>
      <c r="B16" s="17">
        <f t="shared" si="5"/>
        <v>6.4922591892128553E-2</v>
      </c>
      <c r="C16" s="61">
        <f t="shared" si="1"/>
        <v>10</v>
      </c>
      <c r="D16" s="32">
        <v>0.1388047701029318</v>
      </c>
      <c r="E16" s="33">
        <v>0.27760954020586359</v>
      </c>
      <c r="F16" s="33">
        <v>0.58358568969120461</v>
      </c>
      <c r="G16" s="11"/>
      <c r="H16" s="11"/>
      <c r="I16" s="11"/>
      <c r="J16" s="11"/>
      <c r="K16" s="11"/>
      <c r="L16" s="11"/>
      <c r="M16" s="519"/>
      <c r="N16" s="524">
        <f t="shared" si="2"/>
        <v>1</v>
      </c>
      <c r="P16" s="197">
        <v>10</v>
      </c>
      <c r="Q16" s="510">
        <f t="shared" si="3"/>
        <v>3</v>
      </c>
      <c r="R16" s="7">
        <v>0.5</v>
      </c>
      <c r="T16" s="510">
        <f t="shared" si="4"/>
        <v>2</v>
      </c>
      <c r="U16" s="7">
        <v>0.5</v>
      </c>
    </row>
    <row r="17" spans="1:21" x14ac:dyDescent="0.25">
      <c r="A17" s="9">
        <v>11</v>
      </c>
      <c r="B17" s="17">
        <f t="shared" si="5"/>
        <v>6.7346368656101344E-2</v>
      </c>
      <c r="C17" s="61">
        <f t="shared" si="1"/>
        <v>11</v>
      </c>
      <c r="D17" s="32">
        <v>0.14343159577302952</v>
      </c>
      <c r="E17" s="33">
        <v>0.28686319154605905</v>
      </c>
      <c r="F17" s="33">
        <v>0.56970521268091145</v>
      </c>
      <c r="G17" s="11"/>
      <c r="H17" s="11"/>
      <c r="I17" s="11"/>
      <c r="J17" s="11"/>
      <c r="K17" s="11"/>
      <c r="L17" s="11"/>
      <c r="M17" s="519"/>
      <c r="N17" s="524">
        <f t="shared" si="2"/>
        <v>1</v>
      </c>
      <c r="P17" s="197">
        <v>11</v>
      </c>
      <c r="Q17" s="510">
        <f t="shared" si="3"/>
        <v>3.2</v>
      </c>
      <c r="R17" s="7">
        <v>0.5</v>
      </c>
      <c r="T17" s="510">
        <f t="shared" si="4"/>
        <v>2.2000000000000002</v>
      </c>
      <c r="U17" s="7">
        <v>0.5</v>
      </c>
    </row>
    <row r="18" spans="1:21" x14ac:dyDescent="0.25">
      <c r="A18" s="9">
        <v>12</v>
      </c>
      <c r="B18" s="17">
        <f t="shared" si="5"/>
        <v>6.9860633085929116E-2</v>
      </c>
      <c r="C18" s="61">
        <f t="shared" si="1"/>
        <v>12</v>
      </c>
      <c r="D18" s="32">
        <v>0.14821264896546385</v>
      </c>
      <c r="E18" s="33">
        <v>0.2964252979309277</v>
      </c>
      <c r="F18" s="33">
        <v>0.55536205310360842</v>
      </c>
      <c r="G18" s="11"/>
      <c r="H18" s="11"/>
      <c r="I18" s="11"/>
      <c r="J18" s="11"/>
      <c r="K18" s="11"/>
      <c r="L18" s="11"/>
      <c r="M18" s="519"/>
      <c r="N18" s="524">
        <f t="shared" si="2"/>
        <v>1</v>
      </c>
      <c r="P18" s="197">
        <v>12</v>
      </c>
      <c r="Q18" s="510">
        <f t="shared" si="3"/>
        <v>3.4000000000000004</v>
      </c>
      <c r="R18" s="7">
        <v>0.5</v>
      </c>
      <c r="T18" s="510">
        <f t="shared" si="4"/>
        <v>2.4000000000000004</v>
      </c>
      <c r="U18" s="7">
        <v>0.5</v>
      </c>
    </row>
    <row r="19" spans="1:21" x14ac:dyDescent="0.25">
      <c r="A19" s="9">
        <v>13</v>
      </c>
      <c r="B19" s="17">
        <f t="shared" si="5"/>
        <v>7.2468763387803795E-2</v>
      </c>
      <c r="C19" s="61">
        <f t="shared" si="1"/>
        <v>13</v>
      </c>
      <c r="D19" s="32">
        <v>0.15315307059764599</v>
      </c>
      <c r="E19" s="33">
        <v>0.30630614119529198</v>
      </c>
      <c r="F19" s="33">
        <v>0.54054078820706208</v>
      </c>
      <c r="G19" s="11"/>
      <c r="H19" s="11"/>
      <c r="I19" s="11"/>
      <c r="J19" s="11"/>
      <c r="K19" s="11"/>
      <c r="L19" s="11"/>
      <c r="M19" s="519"/>
      <c r="N19" s="524">
        <f t="shared" si="2"/>
        <v>1</v>
      </c>
      <c r="P19" s="197">
        <v>13</v>
      </c>
      <c r="Q19" s="510">
        <f t="shared" si="3"/>
        <v>3.6</v>
      </c>
      <c r="R19" s="7">
        <v>0.5</v>
      </c>
      <c r="T19" s="510">
        <f t="shared" si="4"/>
        <v>2.6</v>
      </c>
      <c r="U19" s="7">
        <v>0.5</v>
      </c>
    </row>
    <row r="20" spans="1:21" x14ac:dyDescent="0.25">
      <c r="A20" s="9">
        <v>14</v>
      </c>
      <c r="B20" s="17">
        <f t="shared" si="5"/>
        <v>7.5174263887615125E-2</v>
      </c>
      <c r="C20" s="61">
        <f t="shared" si="1"/>
        <v>14</v>
      </c>
      <c r="D20" s="32">
        <v>0.15825817295090086</v>
      </c>
      <c r="E20" s="33">
        <v>0.31651634590180172</v>
      </c>
      <c r="F20" s="33">
        <v>0.52522548114729739</v>
      </c>
      <c r="G20" s="11"/>
      <c r="H20" s="11"/>
      <c r="I20" s="11"/>
      <c r="J20" s="11"/>
      <c r="K20" s="11"/>
      <c r="L20" s="11"/>
      <c r="M20" s="519"/>
      <c r="N20" s="524">
        <f t="shared" si="2"/>
        <v>1</v>
      </c>
      <c r="P20" s="197">
        <v>14</v>
      </c>
      <c r="Q20" s="510">
        <f t="shared" si="3"/>
        <v>3.8000000000000003</v>
      </c>
      <c r="R20" s="7">
        <v>0.5</v>
      </c>
      <c r="T20" s="510">
        <f t="shared" si="4"/>
        <v>2.8000000000000003</v>
      </c>
      <c r="U20" s="7">
        <v>0.5</v>
      </c>
    </row>
    <row r="21" spans="1:21" x14ac:dyDescent="0.25">
      <c r="A21" s="9">
        <v>15</v>
      </c>
      <c r="B21" s="18">
        <f>1-SUM(B6:B20)</f>
        <v>0.11658652483697718</v>
      </c>
      <c r="C21" s="61">
        <f t="shared" si="1"/>
        <v>15</v>
      </c>
      <c r="D21" s="35">
        <v>0.16353344538259756</v>
      </c>
      <c r="E21" s="36">
        <v>0.32706689076519513</v>
      </c>
      <c r="F21" s="36">
        <v>0.50939966385220736</v>
      </c>
      <c r="G21" s="520"/>
      <c r="H21" s="520"/>
      <c r="I21" s="520"/>
      <c r="J21" s="520"/>
      <c r="K21" s="520"/>
      <c r="L21" s="520"/>
      <c r="M21" s="521"/>
      <c r="N21" s="525">
        <f t="shared" si="2"/>
        <v>1</v>
      </c>
      <c r="P21" s="197">
        <v>15</v>
      </c>
      <c r="Q21" s="510">
        <f t="shared" si="3"/>
        <v>4</v>
      </c>
      <c r="R21" s="7">
        <v>0.5</v>
      </c>
      <c r="T21" s="510">
        <f t="shared" si="4"/>
        <v>3</v>
      </c>
      <c r="U21" s="7">
        <v>0.5</v>
      </c>
    </row>
    <row r="22" spans="1:21" x14ac:dyDescent="0.25">
      <c r="B22" s="25">
        <f>SUM(B6:B21)</f>
        <v>1</v>
      </c>
    </row>
    <row r="23" spans="1:21" ht="15.75" x14ac:dyDescent="0.25">
      <c r="C23" s="518" t="s">
        <v>81</v>
      </c>
      <c r="D23" s="7">
        <v>1</v>
      </c>
      <c r="E23" s="7">
        <v>10</v>
      </c>
      <c r="F23" s="7"/>
      <c r="G23" s="7"/>
      <c r="H23" s="7"/>
      <c r="I23" s="7"/>
      <c r="J23" s="7"/>
      <c r="K23" s="7"/>
      <c r="L23" s="7"/>
      <c r="M23" s="7"/>
      <c r="N23" s="7"/>
    </row>
    <row r="24" spans="1:21" x14ac:dyDescent="0.25">
      <c r="C24" s="7" t="s">
        <v>31</v>
      </c>
      <c r="D24" s="7">
        <v>0</v>
      </c>
      <c r="E24" s="7">
        <v>1</v>
      </c>
      <c r="F24" s="7">
        <v>2</v>
      </c>
      <c r="G24" s="7">
        <v>3</v>
      </c>
      <c r="H24" s="7">
        <v>4</v>
      </c>
      <c r="I24" s="7">
        <v>5</v>
      </c>
      <c r="J24" s="7">
        <v>6</v>
      </c>
      <c r="K24" s="7">
        <v>7</v>
      </c>
      <c r="L24" s="7">
        <v>8</v>
      </c>
      <c r="M24" s="7">
        <v>9</v>
      </c>
    </row>
    <row r="25" spans="1:21" x14ac:dyDescent="0.25">
      <c r="C25" s="7">
        <v>0</v>
      </c>
      <c r="D25" s="29">
        <v>0.1</v>
      </c>
      <c r="E25" s="30">
        <v>0.2</v>
      </c>
      <c r="F25" s="30">
        <v>0.7</v>
      </c>
      <c r="G25" s="30"/>
      <c r="H25" s="30"/>
      <c r="I25" s="30"/>
      <c r="J25" s="30"/>
      <c r="K25" s="30"/>
      <c r="L25" s="30"/>
      <c r="M25" s="31"/>
      <c r="N25" s="31"/>
    </row>
    <row r="26" spans="1:21" x14ac:dyDescent="0.25">
      <c r="C26" s="7">
        <v>1</v>
      </c>
      <c r="D26" s="32">
        <v>0.10333333333333335</v>
      </c>
      <c r="E26" s="33">
        <v>0.20666666666666669</v>
      </c>
      <c r="F26" s="33">
        <v>0.69</v>
      </c>
      <c r="G26" s="33"/>
      <c r="H26" s="33"/>
      <c r="I26" s="33"/>
      <c r="J26" s="33"/>
      <c r="K26" s="33"/>
      <c r="L26" s="33"/>
      <c r="M26" s="34"/>
      <c r="N26" s="34"/>
    </row>
    <row r="27" spans="1:21" x14ac:dyDescent="0.25">
      <c r="C27" s="7">
        <v>2</v>
      </c>
      <c r="D27" s="32">
        <v>0.1067777777777778</v>
      </c>
      <c r="E27" s="33">
        <v>0.21355555555555561</v>
      </c>
      <c r="F27" s="33">
        <v>0.67966666666666664</v>
      </c>
      <c r="G27" s="33"/>
      <c r="H27" s="33"/>
      <c r="I27" s="33"/>
      <c r="J27" s="33"/>
      <c r="K27" s="33"/>
      <c r="L27" s="33"/>
      <c r="M27" s="34"/>
      <c r="N27" s="34"/>
    </row>
    <row r="28" spans="1:21" x14ac:dyDescent="0.25">
      <c r="C28" s="7">
        <v>3</v>
      </c>
      <c r="D28" s="32">
        <v>0.11033703703703708</v>
      </c>
      <c r="E28" s="33">
        <v>0.22067407407407416</v>
      </c>
      <c r="F28" s="33">
        <v>0.66898888888888874</v>
      </c>
      <c r="G28" s="33"/>
      <c r="H28" s="33"/>
      <c r="I28" s="33"/>
      <c r="J28" s="33"/>
      <c r="K28" s="33"/>
      <c r="L28" s="33"/>
      <c r="M28" s="34"/>
      <c r="N28" s="34"/>
    </row>
    <row r="29" spans="1:21" x14ac:dyDescent="0.25">
      <c r="C29" s="7">
        <v>4</v>
      </c>
      <c r="D29" s="32">
        <v>0.114014938271605</v>
      </c>
      <c r="E29" s="33">
        <v>0.22802987654321</v>
      </c>
      <c r="F29" s="33">
        <v>0.65795518518518503</v>
      </c>
      <c r="G29" s="33"/>
      <c r="H29" s="33"/>
      <c r="I29" s="33"/>
      <c r="J29" s="33"/>
      <c r="K29" s="33"/>
      <c r="L29" s="33"/>
      <c r="M29" s="34"/>
      <c r="N29" s="34"/>
    </row>
    <row r="30" spans="1:21" x14ac:dyDescent="0.25">
      <c r="C30" s="7">
        <v>5</v>
      </c>
      <c r="D30" s="32">
        <v>0.11781543621399185</v>
      </c>
      <c r="E30" s="33">
        <v>0.2356308724279837</v>
      </c>
      <c r="F30" s="33">
        <v>0.64655369135802443</v>
      </c>
      <c r="G30" s="33"/>
      <c r="H30" s="33"/>
      <c r="I30" s="33"/>
      <c r="J30" s="33"/>
      <c r="K30" s="33"/>
      <c r="L30" s="33"/>
      <c r="M30" s="34"/>
      <c r="N30" s="34"/>
    </row>
    <row r="31" spans="1:21" x14ac:dyDescent="0.25">
      <c r="C31" s="7">
        <v>6</v>
      </c>
      <c r="D31" s="32">
        <v>0.12174261742112492</v>
      </c>
      <c r="E31" s="33">
        <v>0.24348523484224985</v>
      </c>
      <c r="F31" s="33">
        <v>0.63477214773662527</v>
      </c>
      <c r="G31" s="33"/>
      <c r="H31" s="33"/>
      <c r="I31" s="33"/>
      <c r="J31" s="33"/>
      <c r="K31" s="33"/>
      <c r="L31" s="33"/>
      <c r="M31" s="34"/>
      <c r="N31" s="34"/>
    </row>
    <row r="32" spans="1:21" x14ac:dyDescent="0.25">
      <c r="C32" s="7">
        <v>7</v>
      </c>
      <c r="D32" s="32">
        <v>0.12580070466849577</v>
      </c>
      <c r="E32" s="33">
        <v>0.25160140933699154</v>
      </c>
      <c r="F32" s="33">
        <v>0.62259788599451271</v>
      </c>
      <c r="G32" s="33"/>
      <c r="H32" s="33"/>
      <c r="I32" s="33"/>
      <c r="J32" s="33"/>
      <c r="K32" s="33"/>
      <c r="L32" s="33"/>
      <c r="M32" s="34"/>
      <c r="N32" s="34"/>
    </row>
    <row r="33" spans="3:14" x14ac:dyDescent="0.25">
      <c r="C33" s="7">
        <v>8</v>
      </c>
      <c r="D33" s="32">
        <v>0.12999406149077897</v>
      </c>
      <c r="E33" s="33">
        <v>0.25998812298155793</v>
      </c>
      <c r="F33" s="33">
        <v>0.6100178155276631</v>
      </c>
      <c r="G33" s="33"/>
      <c r="H33" s="33"/>
      <c r="I33" s="33"/>
      <c r="J33" s="33"/>
      <c r="K33" s="33"/>
      <c r="L33" s="33"/>
      <c r="M33" s="34"/>
      <c r="N33" s="34"/>
    </row>
    <row r="34" spans="3:14" x14ac:dyDescent="0.25">
      <c r="C34" s="7">
        <v>9</v>
      </c>
      <c r="D34" s="32">
        <v>0.13432719687380495</v>
      </c>
      <c r="E34" s="33">
        <v>0.26865439374760991</v>
      </c>
      <c r="F34" s="33">
        <v>0.59701840937858508</v>
      </c>
      <c r="G34" s="33"/>
      <c r="H34" s="33"/>
      <c r="I34" s="33"/>
      <c r="J34" s="33"/>
      <c r="K34" s="33"/>
      <c r="L34" s="33"/>
      <c r="M34" s="34"/>
      <c r="N34" s="34"/>
    </row>
    <row r="35" spans="3:14" x14ac:dyDescent="0.25">
      <c r="C35" s="7">
        <v>10</v>
      </c>
      <c r="D35" s="32">
        <v>0.1388047701029318</v>
      </c>
      <c r="E35" s="33">
        <v>0.27760954020586359</v>
      </c>
      <c r="F35" s="33">
        <v>0.58358568969120461</v>
      </c>
      <c r="G35" s="33"/>
      <c r="H35" s="33"/>
      <c r="I35" s="33"/>
      <c r="J35" s="33"/>
      <c r="K35" s="33"/>
      <c r="L35" s="33"/>
      <c r="M35" s="34"/>
      <c r="N35" s="34"/>
    </row>
    <row r="36" spans="3:14" x14ac:dyDescent="0.25">
      <c r="C36" s="7">
        <v>11</v>
      </c>
      <c r="D36" s="32">
        <v>0.14343159577302952</v>
      </c>
      <c r="E36" s="33">
        <v>0.28686319154605905</v>
      </c>
      <c r="F36" s="33">
        <v>0.56970521268091145</v>
      </c>
      <c r="G36" s="33"/>
      <c r="H36" s="33"/>
      <c r="I36" s="33"/>
      <c r="J36" s="33"/>
      <c r="K36" s="33"/>
      <c r="L36" s="33"/>
      <c r="M36" s="34"/>
      <c r="N36" s="34"/>
    </row>
    <row r="37" spans="3:14" x14ac:dyDescent="0.25">
      <c r="C37" s="7">
        <v>12</v>
      </c>
      <c r="D37" s="32">
        <v>0.14821264896546385</v>
      </c>
      <c r="E37" s="33">
        <v>0.2964252979309277</v>
      </c>
      <c r="F37" s="33">
        <v>0.55536205310360842</v>
      </c>
      <c r="G37" s="33"/>
      <c r="H37" s="33"/>
      <c r="I37" s="33"/>
      <c r="J37" s="33"/>
      <c r="K37" s="33"/>
      <c r="L37" s="33"/>
      <c r="M37" s="34"/>
      <c r="N37" s="34"/>
    </row>
    <row r="38" spans="3:14" x14ac:dyDescent="0.25">
      <c r="C38" s="7">
        <v>13</v>
      </c>
      <c r="D38" s="32">
        <v>0.15315307059764599</v>
      </c>
      <c r="E38" s="33">
        <v>0.30630614119529198</v>
      </c>
      <c r="F38" s="33">
        <v>0.54054078820706208</v>
      </c>
      <c r="G38" s="33"/>
      <c r="H38" s="33"/>
      <c r="I38" s="33"/>
      <c r="J38" s="33"/>
      <c r="K38" s="33"/>
      <c r="L38" s="33"/>
      <c r="M38" s="34"/>
      <c r="N38" s="34"/>
    </row>
    <row r="39" spans="3:14" x14ac:dyDescent="0.25">
      <c r="C39" s="7">
        <v>14</v>
      </c>
      <c r="D39" s="32">
        <v>0.15825817295090086</v>
      </c>
      <c r="E39" s="33">
        <v>0.31651634590180172</v>
      </c>
      <c r="F39" s="33">
        <v>0.52522548114729739</v>
      </c>
      <c r="G39" s="33"/>
      <c r="H39" s="33"/>
      <c r="I39" s="33"/>
      <c r="J39" s="33"/>
      <c r="K39" s="33"/>
      <c r="L39" s="33"/>
      <c r="M39" s="34"/>
      <c r="N39" s="34"/>
    </row>
    <row r="40" spans="3:14" x14ac:dyDescent="0.25">
      <c r="C40" s="7">
        <v>15</v>
      </c>
      <c r="D40" s="35">
        <v>0.16353344538259756</v>
      </c>
      <c r="E40" s="36">
        <v>0.32706689076519513</v>
      </c>
      <c r="F40" s="36">
        <v>0.50939966385220736</v>
      </c>
      <c r="G40" s="36"/>
      <c r="H40" s="36"/>
      <c r="I40" s="36"/>
      <c r="J40" s="36"/>
      <c r="K40" s="36"/>
      <c r="L40" s="36"/>
      <c r="M40" s="37"/>
      <c r="N40" s="37"/>
    </row>
    <row r="42" spans="3:14" x14ac:dyDescent="0.25">
      <c r="C42" s="7" t="s">
        <v>230</v>
      </c>
      <c r="D42" s="7">
        <v>0</v>
      </c>
      <c r="E42" s="7">
        <v>1</v>
      </c>
      <c r="F42" s="7">
        <v>2</v>
      </c>
      <c r="G42" s="7">
        <v>3</v>
      </c>
      <c r="H42" s="7">
        <v>4</v>
      </c>
      <c r="I42" s="7">
        <v>5</v>
      </c>
      <c r="J42" s="7">
        <v>6</v>
      </c>
      <c r="K42" s="7">
        <v>7</v>
      </c>
      <c r="L42" s="7">
        <v>8</v>
      </c>
      <c r="M42" s="7">
        <v>9</v>
      </c>
    </row>
    <row r="43" spans="3:14" x14ac:dyDescent="0.25">
      <c r="C43" s="7" t="s">
        <v>81</v>
      </c>
      <c r="D43" s="528">
        <v>1</v>
      </c>
      <c r="E43" s="529">
        <v>1.028395684421425</v>
      </c>
      <c r="F43" s="529">
        <v>1.0575976837366112</v>
      </c>
      <c r="G43" s="529">
        <v>1.0876288938088261</v>
      </c>
      <c r="H43" s="529">
        <v>1.1185128606450452</v>
      </c>
      <c r="I43" s="529">
        <v>1.1502737988572274</v>
      </c>
      <c r="J43" s="529">
        <v>1.1829366106478107</v>
      </c>
      <c r="K43" s="529">
        <v>1.2165269053343162</v>
      </c>
      <c r="L43" s="529">
        <v>1.2510710194283623</v>
      </c>
      <c r="M43" s="530">
        <v>1.2865960372848406</v>
      </c>
    </row>
    <row r="44" spans="3:14" x14ac:dyDescent="0.25">
      <c r="C44" s="7"/>
      <c r="D44" s="7" t="s">
        <v>227</v>
      </c>
      <c r="E44" s="7"/>
      <c r="F44" s="7"/>
      <c r="G44" s="7"/>
      <c r="H44" s="7"/>
      <c r="I44" s="7"/>
      <c r="J44" s="7"/>
      <c r="K44" s="7"/>
      <c r="L44" s="7"/>
      <c r="M44" s="7"/>
    </row>
    <row r="45" spans="3:14" x14ac:dyDescent="0.25">
      <c r="C45" s="7" t="s">
        <v>31</v>
      </c>
      <c r="D45" s="7">
        <v>0</v>
      </c>
      <c r="E45" s="7">
        <v>1</v>
      </c>
      <c r="F45" s="7">
        <v>2</v>
      </c>
      <c r="G45" s="7">
        <v>3</v>
      </c>
      <c r="H45" s="7">
        <v>4</v>
      </c>
      <c r="I45" s="7">
        <v>5</v>
      </c>
      <c r="J45" s="7">
        <v>6</v>
      </c>
      <c r="K45" s="7">
        <v>7</v>
      </c>
      <c r="L45" s="7">
        <v>8</v>
      </c>
      <c r="M45" s="7">
        <v>9</v>
      </c>
    </row>
    <row r="46" spans="3:14" x14ac:dyDescent="0.25">
      <c r="C46" s="7">
        <v>0</v>
      </c>
      <c r="D46" s="29">
        <v>0.04</v>
      </c>
      <c r="E46" s="30">
        <v>4.1120000000000004E-2</v>
      </c>
      <c r="F46" s="30">
        <v>4.2271360000000008E-2</v>
      </c>
      <c r="G46" s="30">
        <v>4.3454958080000008E-2</v>
      </c>
      <c r="H46" s="30">
        <v>4.467169690624001E-2</v>
      </c>
      <c r="I46" s="30">
        <v>4.5922504419614735E-2</v>
      </c>
      <c r="J46" s="30">
        <v>4.7208334543363949E-2</v>
      </c>
      <c r="K46" s="30">
        <v>4.853016791057814E-2</v>
      </c>
      <c r="L46" s="30">
        <v>4.9889012612074332E-2</v>
      </c>
      <c r="M46" s="31">
        <v>0.59693196552812888</v>
      </c>
    </row>
    <row r="47" spans="3:14" x14ac:dyDescent="0.25">
      <c r="C47" s="7">
        <v>1</v>
      </c>
      <c r="D47" s="32">
        <v>4.1493333333333327E-2</v>
      </c>
      <c r="E47" s="33">
        <v>4.2655146666666657E-2</v>
      </c>
      <c r="F47" s="33">
        <v>4.3849490773333326E-2</v>
      </c>
      <c r="G47" s="33">
        <v>4.5077276514986657E-2</v>
      </c>
      <c r="H47" s="33">
        <v>4.6339440257406286E-2</v>
      </c>
      <c r="I47" s="33">
        <v>4.7636944584613664E-2</v>
      </c>
      <c r="J47" s="33">
        <v>4.8970779032982845E-2</v>
      </c>
      <c r="K47" s="33">
        <v>5.0341960845906364E-2</v>
      </c>
      <c r="L47" s="33">
        <v>5.1751535749591744E-2</v>
      </c>
      <c r="M47" s="34">
        <v>0.58188409224117921</v>
      </c>
    </row>
    <row r="48" spans="3:14" x14ac:dyDescent="0.25">
      <c r="C48" s="7">
        <v>2</v>
      </c>
      <c r="D48" s="32">
        <v>4.3042417777777765E-2</v>
      </c>
      <c r="E48" s="33">
        <v>4.4247605475555542E-2</v>
      </c>
      <c r="F48" s="33">
        <v>4.5486538428871098E-2</v>
      </c>
      <c r="G48" s="33">
        <v>4.6760161504879487E-2</v>
      </c>
      <c r="H48" s="33">
        <v>4.8069446027016113E-2</v>
      </c>
      <c r="I48" s="33">
        <v>4.9415390515772567E-2</v>
      </c>
      <c r="J48" s="33">
        <v>5.0799021450214199E-2</v>
      </c>
      <c r="K48" s="33">
        <v>5.22213940508202E-2</v>
      </c>
      <c r="L48" s="33">
        <v>5.368359308424317E-2</v>
      </c>
      <c r="M48" s="34">
        <v>0.56627443168484981</v>
      </c>
    </row>
    <row r="49" spans="1:13" x14ac:dyDescent="0.25">
      <c r="C49" s="7">
        <v>3</v>
      </c>
      <c r="D49" s="32">
        <v>4.4649334708148129E-2</v>
      </c>
      <c r="E49" s="33">
        <v>4.5899516079976277E-2</v>
      </c>
      <c r="F49" s="33">
        <v>4.7184702530215616E-2</v>
      </c>
      <c r="G49" s="33">
        <v>4.8505874201061658E-2</v>
      </c>
      <c r="H49" s="33">
        <v>4.9864038678691387E-2</v>
      </c>
      <c r="I49" s="33">
        <v>5.1260231761694745E-2</v>
      </c>
      <c r="J49" s="33">
        <v>5.26955182510222E-2</v>
      </c>
      <c r="K49" s="33">
        <v>5.4170992762050819E-2</v>
      </c>
      <c r="L49" s="33">
        <v>5.5687780559388243E-2</v>
      </c>
      <c r="M49" s="34">
        <v>0.55008201046775085</v>
      </c>
    </row>
    <row r="50" spans="1:13" x14ac:dyDescent="0.25">
      <c r="C50" s="7">
        <v>4</v>
      </c>
      <c r="D50" s="32">
        <v>4.6316243203918986E-2</v>
      </c>
      <c r="E50" s="33">
        <v>4.7613098013628716E-2</v>
      </c>
      <c r="F50" s="33">
        <v>4.8946264758010324E-2</v>
      </c>
      <c r="G50" s="33">
        <v>5.0316760171234612E-2</v>
      </c>
      <c r="H50" s="33">
        <v>5.1725629456029182E-2</v>
      </c>
      <c r="I50" s="33">
        <v>5.3173947080797999E-2</v>
      </c>
      <c r="J50" s="33">
        <v>5.4662817599060345E-2</v>
      </c>
      <c r="K50" s="33">
        <v>5.6193376491834035E-2</v>
      </c>
      <c r="L50" s="33">
        <v>5.7766791033605387E-2</v>
      </c>
      <c r="M50" s="34">
        <v>0.53328507219188048</v>
      </c>
    </row>
    <row r="51" spans="1:13" x14ac:dyDescent="0.25">
      <c r="C51" s="7">
        <v>5</v>
      </c>
      <c r="D51" s="32">
        <v>4.8045382950198626E-2</v>
      </c>
      <c r="E51" s="33">
        <v>4.9390653672804187E-2</v>
      </c>
      <c r="F51" s="33">
        <v>5.0773591975642705E-2</v>
      </c>
      <c r="G51" s="33">
        <v>5.2195252550960705E-2</v>
      </c>
      <c r="H51" s="33">
        <v>5.3656719622387605E-2</v>
      </c>
      <c r="I51" s="33">
        <v>5.5159107771814458E-2</v>
      </c>
      <c r="J51" s="33">
        <v>5.6703562789425267E-2</v>
      </c>
      <c r="K51" s="33">
        <v>5.8291262547529178E-2</v>
      </c>
      <c r="L51" s="33">
        <v>5.992341789886E-2</v>
      </c>
      <c r="M51" s="34">
        <v>0.51586104822037715</v>
      </c>
    </row>
    <row r="52" spans="1:13" x14ac:dyDescent="0.25">
      <c r="C52" s="7">
        <v>6</v>
      </c>
      <c r="D52" s="32">
        <v>4.9839077247006036E-2</v>
      </c>
      <c r="E52" s="33">
        <v>5.1234571409922207E-2</v>
      </c>
      <c r="F52" s="33">
        <v>5.2669139409400031E-2</v>
      </c>
      <c r="G52" s="33">
        <v>5.4143875312863236E-2</v>
      </c>
      <c r="H52" s="33">
        <v>5.5659903821623405E-2</v>
      </c>
      <c r="I52" s="33">
        <v>5.7218381128628863E-2</v>
      </c>
      <c r="J52" s="33">
        <v>5.8820495800230473E-2</v>
      </c>
      <c r="K52" s="33">
        <v>6.0467469682636929E-2</v>
      </c>
      <c r="L52" s="33">
        <v>6.2160558833750768E-2</v>
      </c>
      <c r="M52" s="34">
        <v>0.49778652735393802</v>
      </c>
    </row>
    <row r="53" spans="1:13" x14ac:dyDescent="0.25">
      <c r="C53" s="7">
        <v>7</v>
      </c>
      <c r="D53" s="32">
        <v>5.1699736130894257E-2</v>
      </c>
      <c r="E53" s="33">
        <v>5.3147328742559299E-2</v>
      </c>
      <c r="F53" s="33">
        <v>5.4635453947350962E-2</v>
      </c>
      <c r="G53" s="33">
        <v>5.616524665787679E-2</v>
      </c>
      <c r="H53" s="33">
        <v>5.773787356429734E-2</v>
      </c>
      <c r="I53" s="33">
        <v>5.9354534024097669E-2</v>
      </c>
      <c r="J53" s="33">
        <v>6.1016460976772408E-2</v>
      </c>
      <c r="K53" s="33">
        <v>6.2724921884122042E-2</v>
      </c>
      <c r="L53" s="33">
        <v>6.4481219696877465E-2</v>
      </c>
      <c r="M53" s="34">
        <v>0.47903722437515173</v>
      </c>
    </row>
    <row r="54" spans="1:13" x14ac:dyDescent="0.25">
      <c r="C54" s="7">
        <v>8</v>
      </c>
      <c r="D54" s="32">
        <v>5.3629859613114304E-2</v>
      </c>
      <c r="E54" s="33">
        <v>5.5131495682281505E-2</v>
      </c>
      <c r="F54" s="33">
        <v>5.667517756138539E-2</v>
      </c>
      <c r="G54" s="33">
        <v>5.8262082533104179E-2</v>
      </c>
      <c r="H54" s="33">
        <v>5.9893420844031098E-2</v>
      </c>
      <c r="I54" s="33">
        <v>6.1570436627663969E-2</v>
      </c>
      <c r="J54" s="33">
        <v>6.329440885323856E-2</v>
      </c>
      <c r="K54" s="33">
        <v>6.5066652301129235E-2</v>
      </c>
      <c r="L54" s="33">
        <v>6.6888518565560856E-2</v>
      </c>
      <c r="M54" s="34">
        <v>0.45958794741849085</v>
      </c>
    </row>
    <row r="55" spans="1:13" x14ac:dyDescent="0.25">
      <c r="C55" s="7">
        <v>9</v>
      </c>
      <c r="D55" s="32">
        <v>5.5632041038670567E-2</v>
      </c>
      <c r="E55" s="33">
        <v>5.7189738187753345E-2</v>
      </c>
      <c r="F55" s="33">
        <v>5.8791050857010439E-2</v>
      </c>
      <c r="G55" s="33">
        <v>6.0437200281006735E-2</v>
      </c>
      <c r="H55" s="33">
        <v>6.2129441888874926E-2</v>
      </c>
      <c r="I55" s="33">
        <v>6.3869066261763419E-2</v>
      </c>
      <c r="J55" s="33">
        <v>6.5657400117092798E-2</v>
      </c>
      <c r="K55" s="33">
        <v>6.7495807320371401E-2</v>
      </c>
      <c r="L55" s="33">
        <v>6.9385689925341804E-2</v>
      </c>
      <c r="M55" s="34">
        <v>0.43941256412211449</v>
      </c>
    </row>
    <row r="56" spans="1:13" x14ac:dyDescent="0.25">
      <c r="C56" s="7">
        <v>10</v>
      </c>
      <c r="D56" s="32">
        <v>5.7708970570780928E-2</v>
      </c>
      <c r="E56" s="33">
        <v>5.9324821746762797E-2</v>
      </c>
      <c r="F56" s="33">
        <v>6.0985916755672158E-2</v>
      </c>
      <c r="G56" s="33">
        <v>6.2693522424830977E-2</v>
      </c>
      <c r="H56" s="33">
        <v>6.444894105272625E-2</v>
      </c>
      <c r="I56" s="33">
        <v>6.6253511402202592E-2</v>
      </c>
      <c r="J56" s="33">
        <v>6.8108609721464264E-2</v>
      </c>
      <c r="K56" s="33">
        <v>7.0015650793665271E-2</v>
      </c>
      <c r="L56" s="33">
        <v>7.1976089015887895E-2</v>
      </c>
      <c r="M56" s="34">
        <v>0.41848396651600683</v>
      </c>
    </row>
    <row r="57" spans="1:13" x14ac:dyDescent="0.25">
      <c r="C57" s="7">
        <v>11</v>
      </c>
      <c r="D57" s="32">
        <v>5.9863438805423407E-2</v>
      </c>
      <c r="E57" s="33">
        <v>6.1539615091975267E-2</v>
      </c>
      <c r="F57" s="33">
        <v>6.3262724314550572E-2</v>
      </c>
      <c r="G57" s="33">
        <v>6.5034080595357993E-2</v>
      </c>
      <c r="H57" s="33">
        <v>6.6855034852028025E-2</v>
      </c>
      <c r="I57" s="33">
        <v>6.8726975827884812E-2</v>
      </c>
      <c r="J57" s="33">
        <v>7.0651331151065588E-2</v>
      </c>
      <c r="K57" s="33">
        <v>7.2629568423295432E-2</v>
      </c>
      <c r="L57" s="33">
        <v>7.4663196339147711E-2</v>
      </c>
      <c r="M57" s="34">
        <v>0.39677403459927119</v>
      </c>
    </row>
    <row r="58" spans="1:13" x14ac:dyDescent="0.25">
      <c r="C58" s="7">
        <v>12</v>
      </c>
      <c r="D58" s="32">
        <v>6.209834052082587E-2</v>
      </c>
      <c r="E58" s="33">
        <v>6.3837094055408994E-2</v>
      </c>
      <c r="F58" s="33">
        <v>6.5624532688960444E-2</v>
      </c>
      <c r="G58" s="33">
        <v>6.7462019604251341E-2</v>
      </c>
      <c r="H58" s="33">
        <v>6.9350956153170384E-2</v>
      </c>
      <c r="I58" s="33">
        <v>7.1292782925459153E-2</v>
      </c>
      <c r="J58" s="33">
        <v>7.3288980847372009E-2</v>
      </c>
      <c r="K58" s="33">
        <v>7.5341072311098434E-2</v>
      </c>
      <c r="L58" s="33">
        <v>7.7450622335809197E-2</v>
      </c>
      <c r="M58" s="34">
        <v>0.37425359855764417</v>
      </c>
    </row>
    <row r="59" spans="1:13" x14ac:dyDescent="0.25">
      <c r="C59" s="7">
        <v>13</v>
      </c>
      <c r="D59" s="32">
        <v>6.4416678566936697E-2</v>
      </c>
      <c r="E59" s="33">
        <v>6.6220345566810931E-2</v>
      </c>
      <c r="F59" s="33">
        <v>6.8074515242681641E-2</v>
      </c>
      <c r="G59" s="33">
        <v>6.9980601669476727E-2</v>
      </c>
      <c r="H59" s="33">
        <v>7.194005851622208E-2</v>
      </c>
      <c r="I59" s="33">
        <v>7.39543801546763E-2</v>
      </c>
      <c r="J59" s="33">
        <v>7.6025102799007233E-2</v>
      </c>
      <c r="K59" s="33">
        <v>7.8153805677379437E-2</v>
      </c>
      <c r="L59" s="33">
        <v>8.0342112236346061E-2</v>
      </c>
      <c r="M59" s="34">
        <v>0.35089239957046292</v>
      </c>
    </row>
    <row r="60" spans="1:13" x14ac:dyDescent="0.25">
      <c r="C60" s="7">
        <v>14</v>
      </c>
      <c r="D60" s="32">
        <v>6.6821567900102324E-2</v>
      </c>
      <c r="E60" s="33">
        <v>6.8692571801305197E-2</v>
      </c>
      <c r="F60" s="33">
        <v>7.0615963811741747E-2</v>
      </c>
      <c r="G60" s="33">
        <v>7.2593210798470517E-2</v>
      </c>
      <c r="H60" s="33">
        <v>7.4625820700827697E-2</v>
      </c>
      <c r="I60" s="33">
        <v>7.6715343680450868E-2</v>
      </c>
      <c r="J60" s="33">
        <v>7.8863373303503501E-2</v>
      </c>
      <c r="K60" s="33">
        <v>8.1071547756001602E-2</v>
      </c>
      <c r="L60" s="33">
        <v>8.3341551093169652E-2</v>
      </c>
      <c r="M60" s="34">
        <v>0.32665904915442701</v>
      </c>
    </row>
    <row r="61" spans="1:13" x14ac:dyDescent="0.25">
      <c r="C61" s="7">
        <v>15</v>
      </c>
      <c r="D61" s="35">
        <v>6.9316239768372798E-2</v>
      </c>
      <c r="E61" s="36">
        <v>7.1257094481887231E-2</v>
      </c>
      <c r="F61" s="36">
        <v>7.3252293127380075E-2</v>
      </c>
      <c r="G61" s="36">
        <v>7.5303357334946724E-2</v>
      </c>
      <c r="H61" s="36">
        <v>7.741185134032523E-2</v>
      </c>
      <c r="I61" s="36">
        <v>7.9579383177854332E-2</v>
      </c>
      <c r="J61" s="36">
        <v>8.1807605906834252E-2</v>
      </c>
      <c r="K61" s="36">
        <v>8.4098218872225614E-2</v>
      </c>
      <c r="L61" s="36">
        <v>8.6452969000647931E-2</v>
      </c>
      <c r="M61" s="37">
        <v>0.30152098698952579</v>
      </c>
    </row>
    <row r="63" spans="1:13" ht="18.75" x14ac:dyDescent="0.3">
      <c r="A63" s="1" t="s">
        <v>215</v>
      </c>
      <c r="D63" t="s">
        <v>231</v>
      </c>
      <c r="E63" s="82">
        <v>0.1</v>
      </c>
    </row>
    <row r="64" spans="1:13" x14ac:dyDescent="0.25">
      <c r="B64" s="7" t="s">
        <v>140</v>
      </c>
      <c r="C64" s="197" t="s">
        <v>54</v>
      </c>
      <c r="D64" s="197" t="s">
        <v>15</v>
      </c>
      <c r="E64" s="197" t="s">
        <v>21</v>
      </c>
      <c r="G64" s="197" t="s">
        <v>16</v>
      </c>
    </row>
    <row r="65" spans="2:9" x14ac:dyDescent="0.25">
      <c r="B65" s="7">
        <v>0</v>
      </c>
      <c r="C65" s="510">
        <v>4.4999999999999998E-2</v>
      </c>
      <c r="D65" s="510">
        <f>EXP(B65*$E$63)</f>
        <v>1</v>
      </c>
      <c r="E65" s="510">
        <v>1</v>
      </c>
      <c r="G65" s="510">
        <f>EXP(B65*$E$63)-1</f>
        <v>0</v>
      </c>
    </row>
    <row r="66" spans="2:9" x14ac:dyDescent="0.25">
      <c r="B66" s="7">
        <v>1</v>
      </c>
      <c r="C66" s="510">
        <v>4.6679999999999992E-2</v>
      </c>
      <c r="D66" s="510">
        <f t="shared" ref="D66:D80" si="6">EXP(B66*$E$63)</f>
        <v>1.1051709180756477</v>
      </c>
      <c r="E66" s="510">
        <v>1</v>
      </c>
      <c r="G66" s="510">
        <f t="shared" ref="G66:G80" si="7">EXP(B66*$E$63)-1</f>
        <v>0.10517091807564771</v>
      </c>
    </row>
    <row r="67" spans="2:9" x14ac:dyDescent="0.25">
      <c r="B67" s="7">
        <v>2</v>
      </c>
      <c r="C67" s="510">
        <v>4.8422719999999989E-2</v>
      </c>
      <c r="D67" s="510">
        <f t="shared" si="6"/>
        <v>1.2214027581601699</v>
      </c>
      <c r="E67" s="510">
        <v>1</v>
      </c>
      <c r="G67" s="510">
        <f t="shared" si="7"/>
        <v>0.22140275816016985</v>
      </c>
    </row>
    <row r="68" spans="2:9" x14ac:dyDescent="0.25">
      <c r="B68" s="7">
        <v>3</v>
      </c>
      <c r="C68" s="510">
        <v>5.0230501546666646E-2</v>
      </c>
      <c r="D68" s="510">
        <f t="shared" si="6"/>
        <v>1.3498588075760032</v>
      </c>
      <c r="E68" s="510">
        <v>1</v>
      </c>
      <c r="G68" s="510">
        <f t="shared" si="7"/>
        <v>0.34985880757600318</v>
      </c>
    </row>
    <row r="69" spans="2:9" x14ac:dyDescent="0.25">
      <c r="B69" s="7">
        <v>4</v>
      </c>
      <c r="C69" s="510">
        <v>5.2105773604408864E-2</v>
      </c>
      <c r="D69" s="510">
        <f t="shared" si="6"/>
        <v>1.4918246976412703</v>
      </c>
      <c r="E69" s="510">
        <v>1</v>
      </c>
      <c r="G69" s="510">
        <f t="shared" si="7"/>
        <v>0.49182469764127035</v>
      </c>
    </row>
    <row r="70" spans="2:9" x14ac:dyDescent="0.25">
      <c r="B70" s="7">
        <v>5</v>
      </c>
      <c r="C70" s="510">
        <v>5.4051055818973459E-2</v>
      </c>
      <c r="D70" s="510">
        <f t="shared" si="6"/>
        <v>1.6487212707001282</v>
      </c>
      <c r="E70" s="510">
        <v>1</v>
      </c>
      <c r="G70" s="510">
        <f t="shared" si="7"/>
        <v>0.64872127070012819</v>
      </c>
    </row>
    <row r="71" spans="2:9" x14ac:dyDescent="0.25">
      <c r="B71" s="7">
        <v>6</v>
      </c>
      <c r="C71" s="510">
        <v>5.6068961902881798E-2</v>
      </c>
      <c r="D71" s="510">
        <f t="shared" si="6"/>
        <v>1.8221188003905091</v>
      </c>
      <c r="E71" s="510">
        <v>1</v>
      </c>
      <c r="G71" s="510">
        <f t="shared" si="7"/>
        <v>0.82211880039050911</v>
      </c>
    </row>
    <row r="72" spans="2:9" x14ac:dyDescent="0.25">
      <c r="B72" s="7">
        <v>7</v>
      </c>
      <c r="C72" s="510">
        <v>5.8162203147256043E-2</v>
      </c>
      <c r="D72" s="510">
        <f t="shared" si="6"/>
        <v>2.0137527074704766</v>
      </c>
      <c r="E72" s="510">
        <v>1</v>
      </c>
      <c r="G72" s="510">
        <f t="shared" si="7"/>
        <v>1.0137527074704766</v>
      </c>
    </row>
    <row r="73" spans="2:9" x14ac:dyDescent="0.25">
      <c r="B73" s="7">
        <v>8</v>
      </c>
      <c r="C73" s="510">
        <v>6.0333592064753597E-2</v>
      </c>
      <c r="D73" s="510">
        <f t="shared" si="6"/>
        <v>2.2255409284924679</v>
      </c>
      <c r="E73" s="510">
        <v>1</v>
      </c>
      <c r="G73" s="510">
        <f t="shared" si="7"/>
        <v>1.2255409284924679</v>
      </c>
    </row>
    <row r="74" spans="2:9" x14ac:dyDescent="0.25">
      <c r="B74" s="7">
        <v>9</v>
      </c>
      <c r="C74" s="510">
        <v>6.2586046168504397E-2</v>
      </c>
      <c r="D74" s="510">
        <f t="shared" si="6"/>
        <v>2.4596031111569499</v>
      </c>
      <c r="E74" s="510">
        <v>1</v>
      </c>
      <c r="G74" s="510">
        <f t="shared" si="7"/>
        <v>1.4596031111569499</v>
      </c>
      <c r="I74" s="38"/>
    </row>
    <row r="75" spans="2:9" x14ac:dyDescent="0.25">
      <c r="B75" s="7">
        <v>10</v>
      </c>
      <c r="C75" s="510">
        <v>6.4922591892128553E-2</v>
      </c>
      <c r="D75" s="510">
        <f t="shared" si="6"/>
        <v>2.7182818284590451</v>
      </c>
      <c r="E75" s="510">
        <v>1</v>
      </c>
      <c r="G75" s="510">
        <f t="shared" si="7"/>
        <v>1.7182818284590451</v>
      </c>
    </row>
    <row r="76" spans="2:9" x14ac:dyDescent="0.25">
      <c r="B76" s="7">
        <v>11</v>
      </c>
      <c r="C76" s="510">
        <v>6.7346368656101344E-2</v>
      </c>
      <c r="D76" s="510">
        <f t="shared" si="6"/>
        <v>3.0041660239464334</v>
      </c>
      <c r="E76" s="510">
        <v>1</v>
      </c>
      <c r="G76" s="510">
        <f t="shared" si="7"/>
        <v>2.0041660239464334</v>
      </c>
    </row>
    <row r="77" spans="2:9" x14ac:dyDescent="0.25">
      <c r="B77" s="7">
        <v>12</v>
      </c>
      <c r="C77" s="510">
        <v>6.9860633085929116E-2</v>
      </c>
      <c r="D77" s="510">
        <f t="shared" si="6"/>
        <v>3.3201169227365481</v>
      </c>
      <c r="E77" s="510">
        <v>1</v>
      </c>
      <c r="G77" s="510">
        <f t="shared" si="7"/>
        <v>2.3201169227365481</v>
      </c>
    </row>
    <row r="78" spans="2:9" x14ac:dyDescent="0.25">
      <c r="B78" s="7">
        <v>13</v>
      </c>
      <c r="C78" s="510">
        <v>7.2468763387803795E-2</v>
      </c>
      <c r="D78" s="510">
        <f t="shared" si="6"/>
        <v>3.6692966676192444</v>
      </c>
      <c r="E78" s="510">
        <v>1</v>
      </c>
      <c r="G78" s="510">
        <f t="shared" si="7"/>
        <v>2.6692966676192444</v>
      </c>
    </row>
    <row r="79" spans="2:9" x14ac:dyDescent="0.25">
      <c r="B79" s="7">
        <v>14</v>
      </c>
      <c r="C79" s="510">
        <v>7.5174263887615125E-2</v>
      </c>
      <c r="D79" s="510">
        <f t="shared" si="6"/>
        <v>4.0551999668446754</v>
      </c>
      <c r="E79" s="510">
        <v>1</v>
      </c>
      <c r="G79" s="510">
        <f t="shared" si="7"/>
        <v>3.0551999668446754</v>
      </c>
    </row>
    <row r="80" spans="2:9" x14ac:dyDescent="0.25">
      <c r="B80" s="7">
        <v>15</v>
      </c>
      <c r="C80" s="510">
        <v>0.11658652483697718</v>
      </c>
      <c r="D80" s="510">
        <f t="shared" si="6"/>
        <v>4.4816890703380645</v>
      </c>
      <c r="E80" s="510">
        <v>1</v>
      </c>
      <c r="G80" s="510">
        <f t="shared" si="7"/>
        <v>3.4816890703380645</v>
      </c>
    </row>
    <row r="83" spans="1:24" ht="18.75" x14ac:dyDescent="0.3">
      <c r="A83" s="1" t="s">
        <v>205</v>
      </c>
    </row>
    <row r="84" spans="1:24" x14ac:dyDescent="0.25">
      <c r="C84" s="7" t="s">
        <v>230</v>
      </c>
      <c r="D84" s="7">
        <v>0</v>
      </c>
      <c r="E84" s="7">
        <v>1</v>
      </c>
      <c r="F84" s="7">
        <v>2</v>
      </c>
      <c r="G84" s="7">
        <v>3</v>
      </c>
      <c r="H84" s="7">
        <v>4</v>
      </c>
      <c r="I84" s="7">
        <v>5</v>
      </c>
      <c r="J84" s="7">
        <v>6</v>
      </c>
      <c r="K84" s="7">
        <v>7</v>
      </c>
      <c r="L84" s="7">
        <v>8</v>
      </c>
      <c r="M84" s="7">
        <v>9</v>
      </c>
    </row>
    <row r="85" spans="1:24" x14ac:dyDescent="0.25">
      <c r="C85" s="7" t="s">
        <v>81</v>
      </c>
      <c r="D85" s="528">
        <v>1</v>
      </c>
      <c r="E85" s="529">
        <v>1.028395684421425</v>
      </c>
      <c r="F85" s="529">
        <v>1.0575976837366112</v>
      </c>
      <c r="G85" s="529">
        <v>1.0876288938088261</v>
      </c>
      <c r="H85" s="529">
        <v>1.1185128606450452</v>
      </c>
      <c r="I85" s="529">
        <v>1.1502737988572274</v>
      </c>
      <c r="J85" s="529">
        <v>1.1829366106478107</v>
      </c>
      <c r="K85" s="529">
        <v>1.2165269053343162</v>
      </c>
      <c r="L85" s="529">
        <v>1.2510710194283623</v>
      </c>
      <c r="M85" s="530">
        <v>1.2865960372848406</v>
      </c>
    </row>
    <row r="86" spans="1:24" x14ac:dyDescent="0.25">
      <c r="C86" s="7"/>
      <c r="D86" s="7" t="s">
        <v>227</v>
      </c>
      <c r="E86" s="7"/>
      <c r="F86" s="7"/>
      <c r="G86" s="7"/>
      <c r="H86" s="7"/>
      <c r="I86" s="7"/>
      <c r="J86" s="7"/>
      <c r="K86" s="7"/>
      <c r="L86" s="7"/>
      <c r="M86" s="7"/>
      <c r="O86" t="s">
        <v>233</v>
      </c>
      <c r="P86" s="7">
        <v>1</v>
      </c>
      <c r="Q86" s="7">
        <v>0</v>
      </c>
      <c r="R86" s="7"/>
      <c r="S86" s="7"/>
      <c r="T86" s="7"/>
      <c r="U86" s="7"/>
      <c r="V86" s="7"/>
      <c r="W86" s="7"/>
      <c r="X86" s="7"/>
    </row>
    <row r="87" spans="1:24" x14ac:dyDescent="0.25">
      <c r="B87" t="s">
        <v>54</v>
      </c>
      <c r="C87" s="7" t="s">
        <v>31</v>
      </c>
      <c r="D87" s="7">
        <v>0</v>
      </c>
      <c r="E87" s="7">
        <v>1</v>
      </c>
      <c r="F87" s="7">
        <v>2</v>
      </c>
      <c r="G87" s="7">
        <v>3</v>
      </c>
      <c r="H87" s="7">
        <v>4</v>
      </c>
      <c r="I87" s="7">
        <v>5</v>
      </c>
      <c r="J87" s="7">
        <v>6</v>
      </c>
      <c r="K87" s="7">
        <v>7</v>
      </c>
      <c r="L87" s="7">
        <v>8</v>
      </c>
      <c r="M87" s="7">
        <v>9</v>
      </c>
      <c r="O87" s="7">
        <v>0</v>
      </c>
      <c r="P87" s="7">
        <v>1</v>
      </c>
      <c r="Q87" s="7">
        <v>2</v>
      </c>
      <c r="R87" s="7">
        <v>3</v>
      </c>
      <c r="S87" s="7">
        <v>4</v>
      </c>
      <c r="T87" s="7">
        <v>5</v>
      </c>
      <c r="U87" s="7">
        <v>6</v>
      </c>
      <c r="V87" s="7">
        <v>7</v>
      </c>
      <c r="W87" s="7">
        <v>8</v>
      </c>
      <c r="X87" s="7">
        <v>9</v>
      </c>
    </row>
    <row r="88" spans="1:24" x14ac:dyDescent="0.25">
      <c r="A88" s="522"/>
      <c r="B88" s="12">
        <v>8.432637726538815E-2</v>
      </c>
      <c r="C88" s="7">
        <v>0</v>
      </c>
      <c r="D88" s="29">
        <v>0.04</v>
      </c>
      <c r="E88" s="30">
        <v>4.1120000000000004E-2</v>
      </c>
      <c r="F88" s="30">
        <v>4.2271360000000008E-2</v>
      </c>
      <c r="G88" s="30">
        <v>4.3454958080000008E-2</v>
      </c>
      <c r="H88" s="30">
        <v>4.467169690624001E-2</v>
      </c>
      <c r="I88" s="30">
        <v>4.5922504419614735E-2</v>
      </c>
      <c r="J88" s="30">
        <v>4.7208334543363949E-2</v>
      </c>
      <c r="K88" s="30">
        <v>4.853016791057814E-2</v>
      </c>
      <c r="L88" s="30">
        <v>4.9889012612074332E-2</v>
      </c>
      <c r="M88" s="31">
        <v>0.59693196552812888</v>
      </c>
      <c r="O88" s="29">
        <f>D88</f>
        <v>0.04</v>
      </c>
      <c r="P88" s="30">
        <f>IF(P$86=1,E88,1-O88)</f>
        <v>4.1120000000000004E-2</v>
      </c>
      <c r="Q88" s="30">
        <f>IF(Q$86=1,F88,IF(Q$86="","",1-SUM($D88:E88)))</f>
        <v>0.91888000000000003</v>
      </c>
      <c r="R88" s="30" t="str">
        <f>IF(R$86=1,G88,IF(R$86="","",1-SUM($D88:F88)))</f>
        <v/>
      </c>
      <c r="S88" s="30" t="str">
        <f>IF(S$86=1,H88,IF(S$86="","",1-SUM($D88:G88)))</f>
        <v/>
      </c>
      <c r="T88" s="30" t="str">
        <f>IF(T$86=1,I88,IF(T$86="","",1-SUM($D88:H88)))</f>
        <v/>
      </c>
      <c r="U88" s="30" t="str">
        <f>IF(U$86=1,J88,IF(U$86="","",1-SUM($D88:I88)))</f>
        <v/>
      </c>
      <c r="V88" s="30" t="str">
        <f>IF(V$86=1,K88,IF(V$86="","",1-SUM($D88:J88)))</f>
        <v/>
      </c>
      <c r="W88" s="30" t="str">
        <f>IF(W$86=1,L88,IF(W$86="","",1-SUM($D88:K88)))</f>
        <v/>
      </c>
      <c r="X88" s="31" t="str">
        <f>IF(X$86=1,M88,IF(X$86="","",1-SUM($D88:L88)))</f>
        <v/>
      </c>
    </row>
    <row r="89" spans="1:24" x14ac:dyDescent="0.25">
      <c r="A89" s="522"/>
      <c r="B89" s="12">
        <v>8.7474562016629301E-2</v>
      </c>
      <c r="C89" s="7">
        <v>1</v>
      </c>
      <c r="D89" s="32">
        <v>4.1493333333333327E-2</v>
      </c>
      <c r="E89" s="33">
        <v>4.2655146666666657E-2</v>
      </c>
      <c r="F89" s="33">
        <v>4.3849490773333326E-2</v>
      </c>
      <c r="G89" s="33">
        <v>4.5077276514986657E-2</v>
      </c>
      <c r="H89" s="33">
        <v>4.6339440257406286E-2</v>
      </c>
      <c r="I89" s="33">
        <v>4.7636944584613664E-2</v>
      </c>
      <c r="J89" s="33">
        <v>4.8970779032982845E-2</v>
      </c>
      <c r="K89" s="33">
        <v>5.0341960845906364E-2</v>
      </c>
      <c r="L89" s="33">
        <v>5.1751535749591744E-2</v>
      </c>
      <c r="M89" s="34">
        <v>0.58188409224117921</v>
      </c>
      <c r="O89" s="32">
        <f t="shared" ref="O89:O97" si="8">D89</f>
        <v>4.1493333333333327E-2</v>
      </c>
      <c r="P89" s="33">
        <f t="shared" ref="P89" si="9">IF(P$86=1,E89,1-O89)</f>
        <v>4.2655146666666657E-2</v>
      </c>
      <c r="Q89" s="33">
        <f>IF(Q$86=1,F89,IF(Q$86="","",1-SUM($D89:E89)))</f>
        <v>0.91585152000000003</v>
      </c>
      <c r="R89" s="33" t="str">
        <f>IF(R$86=1,G89,IF(R$86="","",1-SUM($D89:F89)))</f>
        <v/>
      </c>
      <c r="S89" s="33" t="str">
        <f>IF(S$86=1,H89,IF(S$86="","",1-SUM($D89:G89)))</f>
        <v/>
      </c>
      <c r="T89" s="33" t="str">
        <f>IF(T$86=1,I89,IF(T$86="","",1-SUM($D89:H89)))</f>
        <v/>
      </c>
      <c r="U89" s="33" t="str">
        <f>IF(U$86=1,J89,IF(U$86="","",1-SUM($D89:I89)))</f>
        <v/>
      </c>
      <c r="V89" s="33" t="str">
        <f>IF(V$86=1,K89,IF(V$86="","",1-SUM($D89:J89)))</f>
        <v/>
      </c>
      <c r="W89" s="33" t="str">
        <f>IF(W$86=1,L89,IF(W$86="","",1-SUM($D89:K89)))</f>
        <v/>
      </c>
      <c r="X89" s="34" t="str">
        <f>IF(X$86=1,M89,IF(X$86="","",1-SUM($D89:L89)))</f>
        <v/>
      </c>
    </row>
    <row r="90" spans="1:24" x14ac:dyDescent="0.25">
      <c r="A90" s="522"/>
      <c r="B90" s="12">
        <v>9.074027899858346E-2</v>
      </c>
      <c r="C90" s="7">
        <v>2</v>
      </c>
      <c r="D90" s="32">
        <v>4.3042417777777765E-2</v>
      </c>
      <c r="E90" s="33">
        <v>4.4247605475555542E-2</v>
      </c>
      <c r="F90" s="33">
        <v>4.5486538428871098E-2</v>
      </c>
      <c r="G90" s="33">
        <v>4.6760161504879487E-2</v>
      </c>
      <c r="H90" s="33">
        <v>4.8069446027016113E-2</v>
      </c>
      <c r="I90" s="33">
        <v>4.9415390515772567E-2</v>
      </c>
      <c r="J90" s="33">
        <v>5.0799021450214199E-2</v>
      </c>
      <c r="K90" s="33">
        <v>5.22213940508202E-2</v>
      </c>
      <c r="L90" s="33">
        <v>5.368359308424317E-2</v>
      </c>
      <c r="M90" s="34">
        <v>0.56627443168484981</v>
      </c>
      <c r="O90" s="32">
        <f t="shared" si="8"/>
        <v>4.3042417777777765E-2</v>
      </c>
      <c r="P90" s="33">
        <f t="shared" ref="P90:P97" si="10">IF(P$86=1,E90,1-O90)</f>
        <v>4.4247605475555542E-2</v>
      </c>
      <c r="Q90" s="33">
        <f>IF(Q$86=1,F90,IF(Q$86="","",1-SUM($D90:E90)))</f>
        <v>0.91270997674666665</v>
      </c>
      <c r="R90" s="33" t="str">
        <f>IF(R$86=1,G90,IF(R$86="","",1-SUM($D90:F90)))</f>
        <v/>
      </c>
      <c r="S90" s="33" t="str">
        <f>IF(S$86=1,H90,IF(S$86="","",1-SUM($D90:G90)))</f>
        <v/>
      </c>
      <c r="T90" s="33" t="str">
        <f>IF(T$86=1,I90,IF(T$86="","",1-SUM($D90:H90)))</f>
        <v/>
      </c>
      <c r="U90" s="33" t="str">
        <f>IF(U$86=1,J90,IF(U$86="","",1-SUM($D90:I90)))</f>
        <v/>
      </c>
      <c r="V90" s="33" t="str">
        <f>IF(V$86=1,K90,IF(V$86="","",1-SUM($D90:J90)))</f>
        <v/>
      </c>
      <c r="W90" s="33" t="str">
        <f>IF(W$86=1,L90,IF(W$86="","",1-SUM($D90:K90)))</f>
        <v/>
      </c>
      <c r="X90" s="34" t="str">
        <f>IF(X$86=1,M90,IF(X$86="","",1-SUM($D90:L90)))</f>
        <v/>
      </c>
    </row>
    <row r="91" spans="1:24" x14ac:dyDescent="0.25">
      <c r="A91" s="522"/>
      <c r="B91" s="12">
        <v>9.4127916081197222E-2</v>
      </c>
      <c r="C91" s="7">
        <v>3</v>
      </c>
      <c r="D91" s="32">
        <v>4.4649334708148129E-2</v>
      </c>
      <c r="E91" s="33">
        <v>4.5899516079976277E-2</v>
      </c>
      <c r="F91" s="33">
        <v>4.7184702530215616E-2</v>
      </c>
      <c r="G91" s="33">
        <v>4.8505874201061658E-2</v>
      </c>
      <c r="H91" s="33">
        <v>4.9864038678691387E-2</v>
      </c>
      <c r="I91" s="33">
        <v>5.1260231761694745E-2</v>
      </c>
      <c r="J91" s="33">
        <v>5.26955182510222E-2</v>
      </c>
      <c r="K91" s="33">
        <v>5.4170992762050819E-2</v>
      </c>
      <c r="L91" s="33">
        <v>5.5687780559388243E-2</v>
      </c>
      <c r="M91" s="34">
        <v>0.55008201046775085</v>
      </c>
      <c r="O91" s="32">
        <f t="shared" si="8"/>
        <v>4.4649334708148129E-2</v>
      </c>
      <c r="P91" s="33">
        <f t="shared" si="10"/>
        <v>4.5899516079976277E-2</v>
      </c>
      <c r="Q91" s="33">
        <f>IF(Q$86=1,F91,IF(Q$86="","",1-SUM($D91:E91)))</f>
        <v>0.90945114921187553</v>
      </c>
      <c r="R91" s="33" t="str">
        <f>IF(R$86=1,G91,IF(R$86="","",1-SUM($D91:F91)))</f>
        <v/>
      </c>
      <c r="S91" s="33" t="str">
        <f>IF(S$86=1,H91,IF(S$86="","",1-SUM($D91:G91)))</f>
        <v/>
      </c>
      <c r="T91" s="33" t="str">
        <f>IF(T$86=1,I91,IF(T$86="","",1-SUM($D91:H91)))</f>
        <v/>
      </c>
      <c r="U91" s="33" t="str">
        <f>IF(U$86=1,J91,IF(U$86="","",1-SUM($D91:I91)))</f>
        <v/>
      </c>
      <c r="V91" s="33" t="str">
        <f>IF(V$86=1,K91,IF(V$86="","",1-SUM($D91:J91)))</f>
        <v/>
      </c>
      <c r="W91" s="33" t="str">
        <f>IF(W$86=1,L91,IF(W$86="","",1-SUM($D91:K91)))</f>
        <v/>
      </c>
      <c r="X91" s="34" t="str">
        <f>IF(X$86=1,M91,IF(X$86="","",1-SUM($D91:L91)))</f>
        <v/>
      </c>
    </row>
    <row r="92" spans="1:24" x14ac:dyDescent="0.25">
      <c r="A92" s="522"/>
      <c r="B92" s="12">
        <v>9.7642024948228573E-2</v>
      </c>
      <c r="C92" s="7">
        <v>4</v>
      </c>
      <c r="D92" s="32">
        <v>4.6316243203918986E-2</v>
      </c>
      <c r="E92" s="33">
        <v>4.7613098013628716E-2</v>
      </c>
      <c r="F92" s="33">
        <v>4.8946264758010324E-2</v>
      </c>
      <c r="G92" s="33">
        <v>5.0316760171234612E-2</v>
      </c>
      <c r="H92" s="33">
        <v>5.1725629456029182E-2</v>
      </c>
      <c r="I92" s="33">
        <v>5.3173947080797999E-2</v>
      </c>
      <c r="J92" s="33">
        <v>5.4662817599060345E-2</v>
      </c>
      <c r="K92" s="33">
        <v>5.6193376491834035E-2</v>
      </c>
      <c r="L92" s="33">
        <v>5.7766791033605387E-2</v>
      </c>
      <c r="M92" s="34">
        <v>0.53328507219188048</v>
      </c>
      <c r="O92" s="32">
        <f t="shared" si="8"/>
        <v>4.6316243203918986E-2</v>
      </c>
      <c r="P92" s="33">
        <f t="shared" si="10"/>
        <v>4.7613098013628716E-2</v>
      </c>
      <c r="Q92" s="33">
        <f>IF(Q$86=1,F92,IF(Q$86="","",1-SUM($D92:E92)))</f>
        <v>0.9060706587824523</v>
      </c>
      <c r="R92" s="33" t="str">
        <f>IF(R$86=1,G92,IF(R$86="","",1-SUM($D92:F92)))</f>
        <v/>
      </c>
      <c r="S92" s="33" t="str">
        <f>IF(S$86=1,H92,IF(S$86="","",1-SUM($D92:G92)))</f>
        <v/>
      </c>
      <c r="T92" s="33" t="str">
        <f>IF(T$86=1,I92,IF(T$86="","",1-SUM($D92:H92)))</f>
        <v/>
      </c>
      <c r="U92" s="33" t="str">
        <f>IF(U$86=1,J92,IF(U$86="","",1-SUM($D92:I92)))</f>
        <v/>
      </c>
      <c r="V92" s="33" t="str">
        <f>IF(V$86=1,K92,IF(V$86="","",1-SUM($D92:J92)))</f>
        <v/>
      </c>
      <c r="W92" s="33" t="str">
        <f>IF(W$86=1,L92,IF(W$86="","",1-SUM($D92:K92)))</f>
        <v/>
      </c>
      <c r="X92" s="34" t="str">
        <f>IF(X$86=1,M92,IF(X$86="","",1-SUM($D92:L92)))</f>
        <v/>
      </c>
    </row>
    <row r="93" spans="1:24" x14ac:dyDescent="0.25">
      <c r="A93" s="522"/>
      <c r="B93" s="12">
        <v>0.10128732721296244</v>
      </c>
      <c r="C93" s="7">
        <v>5</v>
      </c>
      <c r="D93" s="32">
        <v>4.8045382950198626E-2</v>
      </c>
      <c r="E93" s="33">
        <v>4.9390653672804187E-2</v>
      </c>
      <c r="F93" s="33">
        <v>5.0773591975642705E-2</v>
      </c>
      <c r="G93" s="33">
        <v>5.2195252550960705E-2</v>
      </c>
      <c r="H93" s="33">
        <v>5.3656719622387605E-2</v>
      </c>
      <c r="I93" s="33">
        <v>5.5159107771814458E-2</v>
      </c>
      <c r="J93" s="33">
        <v>5.6703562789425267E-2</v>
      </c>
      <c r="K93" s="33">
        <v>5.8291262547529178E-2</v>
      </c>
      <c r="L93" s="33">
        <v>5.992341789886E-2</v>
      </c>
      <c r="M93" s="34">
        <v>0.51586104822037715</v>
      </c>
      <c r="O93" s="32">
        <f t="shared" si="8"/>
        <v>4.8045382950198626E-2</v>
      </c>
      <c r="P93" s="33">
        <f t="shared" si="10"/>
        <v>4.9390653672804187E-2</v>
      </c>
      <c r="Q93" s="33">
        <f>IF(Q$86=1,F93,IF(Q$86="","",1-SUM($D93:E93)))</f>
        <v>0.90256396337699718</v>
      </c>
      <c r="R93" s="33" t="str">
        <f>IF(R$86=1,G93,IF(R$86="","",1-SUM($D93:F93)))</f>
        <v/>
      </c>
      <c r="S93" s="33" t="str">
        <f>IF(S$86=1,H93,IF(S$86="","",1-SUM($D93:G93)))</f>
        <v/>
      </c>
      <c r="T93" s="33" t="str">
        <f>IF(T$86=1,I93,IF(T$86="","",1-SUM($D93:H93)))</f>
        <v/>
      </c>
      <c r="U93" s="33" t="str">
        <f>IF(U$86=1,J93,IF(U$86="","",1-SUM($D93:I93)))</f>
        <v/>
      </c>
      <c r="V93" s="33" t="str">
        <f>IF(V$86=1,K93,IF(V$86="","",1-SUM($D93:J93)))</f>
        <v/>
      </c>
      <c r="W93" s="33" t="str">
        <f>IF(W$86=1,L93,IF(W$86="","",1-SUM($D93:K93)))</f>
        <v/>
      </c>
      <c r="X93" s="34" t="str">
        <f>IF(X$86=1,M93,IF(X$86="","",1-SUM($D93:L93)))</f>
        <v/>
      </c>
    </row>
    <row r="94" spans="1:24" x14ac:dyDescent="0.25">
      <c r="A94" s="522"/>
      <c r="B94" s="12">
        <v>0.10506872076224637</v>
      </c>
      <c r="C94" s="7">
        <v>6</v>
      </c>
      <c r="D94" s="32">
        <v>4.9839077247006036E-2</v>
      </c>
      <c r="E94" s="33">
        <v>5.1234571409922207E-2</v>
      </c>
      <c r="F94" s="33">
        <v>5.2669139409400031E-2</v>
      </c>
      <c r="G94" s="33">
        <v>5.4143875312863236E-2</v>
      </c>
      <c r="H94" s="33">
        <v>5.5659903821623405E-2</v>
      </c>
      <c r="I94" s="33">
        <v>5.7218381128628863E-2</v>
      </c>
      <c r="J94" s="33">
        <v>5.8820495800230473E-2</v>
      </c>
      <c r="K94" s="33">
        <v>6.0467469682636929E-2</v>
      </c>
      <c r="L94" s="33">
        <v>6.2160558833750768E-2</v>
      </c>
      <c r="M94" s="34">
        <v>0.49778652735393802</v>
      </c>
      <c r="O94" s="32">
        <f t="shared" si="8"/>
        <v>4.9839077247006036E-2</v>
      </c>
      <c r="P94" s="33">
        <f t="shared" si="10"/>
        <v>5.1234571409922207E-2</v>
      </c>
      <c r="Q94" s="33">
        <f>IF(Q$86=1,F94,IF(Q$86="","",1-SUM($D94:E94)))</f>
        <v>0.89892635134307175</v>
      </c>
      <c r="R94" s="33" t="str">
        <f>IF(R$86=1,G94,IF(R$86="","",1-SUM($D94:F94)))</f>
        <v/>
      </c>
      <c r="S94" s="33" t="str">
        <f>IF(S$86=1,H94,IF(S$86="","",1-SUM($D94:G94)))</f>
        <v/>
      </c>
      <c r="T94" s="33" t="str">
        <f>IF(T$86=1,I94,IF(T$86="","",1-SUM($D94:H94)))</f>
        <v/>
      </c>
      <c r="U94" s="33" t="str">
        <f>IF(U$86=1,J94,IF(U$86="","",1-SUM($D94:I94)))</f>
        <v/>
      </c>
      <c r="V94" s="33" t="str">
        <f>IF(V$86=1,K94,IF(V$86="","",1-SUM($D94:J94)))</f>
        <v/>
      </c>
      <c r="W94" s="33" t="str">
        <f>IF(W$86=1,L94,IF(W$86="","",1-SUM($D94:K94)))</f>
        <v/>
      </c>
      <c r="X94" s="34" t="str">
        <f>IF(X$86=1,M94,IF(X$86="","",1-SUM($D94:L94)))</f>
        <v/>
      </c>
    </row>
    <row r="95" spans="1:24" x14ac:dyDescent="0.25">
      <c r="A95" s="522"/>
      <c r="B95" s="12">
        <v>0.10899128633737021</v>
      </c>
      <c r="C95" s="7">
        <v>7</v>
      </c>
      <c r="D95" s="32">
        <v>5.1699736130894257E-2</v>
      </c>
      <c r="E95" s="33">
        <v>5.3147328742559299E-2</v>
      </c>
      <c r="F95" s="33">
        <v>5.4635453947350962E-2</v>
      </c>
      <c r="G95" s="33">
        <v>5.616524665787679E-2</v>
      </c>
      <c r="H95" s="33">
        <v>5.773787356429734E-2</v>
      </c>
      <c r="I95" s="33">
        <v>5.9354534024097669E-2</v>
      </c>
      <c r="J95" s="33">
        <v>6.1016460976772408E-2</v>
      </c>
      <c r="K95" s="33">
        <v>6.2724921884122042E-2</v>
      </c>
      <c r="L95" s="33">
        <v>6.4481219696877465E-2</v>
      </c>
      <c r="M95" s="34">
        <v>0.47903722437515173</v>
      </c>
      <c r="O95" s="32">
        <f t="shared" si="8"/>
        <v>5.1699736130894257E-2</v>
      </c>
      <c r="P95" s="33">
        <f t="shared" si="10"/>
        <v>5.3147328742559299E-2</v>
      </c>
      <c r="Q95" s="33">
        <f>IF(Q$86=1,F95,IF(Q$86="","",1-SUM($D95:E95)))</f>
        <v>0.89515293512654648</v>
      </c>
      <c r="R95" s="33" t="str">
        <f>IF(R$86=1,G95,IF(R$86="","",1-SUM($D95:F95)))</f>
        <v/>
      </c>
      <c r="S95" s="33" t="str">
        <f>IF(S$86=1,H95,IF(S$86="","",1-SUM($D95:G95)))</f>
        <v/>
      </c>
      <c r="T95" s="33" t="str">
        <f>IF(T$86=1,I95,IF(T$86="","",1-SUM($D95:H95)))</f>
        <v/>
      </c>
      <c r="U95" s="33" t="str">
        <f>IF(U$86=1,J95,IF(U$86="","",1-SUM($D95:I95)))</f>
        <v/>
      </c>
      <c r="V95" s="33" t="str">
        <f>IF(V$86=1,K95,IF(V$86="","",1-SUM($D95:J95)))</f>
        <v/>
      </c>
      <c r="W95" s="33" t="str">
        <f>IF(W$86=1,L95,IF(W$86="","",1-SUM($D95:K95)))</f>
        <v/>
      </c>
      <c r="X95" s="34" t="str">
        <f>IF(X$86=1,M95,IF(X$86="","",1-SUM($D95:L95)))</f>
        <v/>
      </c>
    </row>
    <row r="96" spans="1:24" x14ac:dyDescent="0.25">
      <c r="A96" s="522"/>
      <c r="B96" s="12">
        <v>0.11306029436063203</v>
      </c>
      <c r="C96" s="7">
        <v>8</v>
      </c>
      <c r="D96" s="32">
        <v>5.3629859613114304E-2</v>
      </c>
      <c r="E96" s="33">
        <v>5.5131495682281505E-2</v>
      </c>
      <c r="F96" s="33">
        <v>5.667517756138539E-2</v>
      </c>
      <c r="G96" s="33">
        <v>5.8262082533104179E-2</v>
      </c>
      <c r="H96" s="33">
        <v>5.9893420844031098E-2</v>
      </c>
      <c r="I96" s="33">
        <v>6.1570436627663969E-2</v>
      </c>
      <c r="J96" s="33">
        <v>6.329440885323856E-2</v>
      </c>
      <c r="K96" s="33">
        <v>6.5066652301129235E-2</v>
      </c>
      <c r="L96" s="33">
        <v>6.6888518565560856E-2</v>
      </c>
      <c r="M96" s="34">
        <v>0.45958794741849085</v>
      </c>
      <c r="O96" s="32">
        <f t="shared" si="8"/>
        <v>5.3629859613114304E-2</v>
      </c>
      <c r="P96" s="33">
        <f t="shared" si="10"/>
        <v>5.5131495682281505E-2</v>
      </c>
      <c r="Q96" s="33">
        <f>IF(Q$86=1,F96,IF(Q$86="","",1-SUM($D96:E96)))</f>
        <v>0.89123864470460423</v>
      </c>
      <c r="R96" s="33" t="str">
        <f>IF(R$86=1,G96,IF(R$86="","",1-SUM($D96:F96)))</f>
        <v/>
      </c>
      <c r="S96" s="33" t="str">
        <f>IF(S$86=1,H96,IF(S$86="","",1-SUM($D96:G96)))</f>
        <v/>
      </c>
      <c r="T96" s="33" t="str">
        <f>IF(T$86=1,I96,IF(T$86="","",1-SUM($D96:H96)))</f>
        <v/>
      </c>
      <c r="U96" s="33" t="str">
        <f>IF(U$86=1,J96,IF(U$86="","",1-SUM($D96:I96)))</f>
        <v/>
      </c>
      <c r="V96" s="33" t="str">
        <f>IF(V$86=1,K96,IF(V$86="","",1-SUM($D96:J96)))</f>
        <v/>
      </c>
      <c r="W96" s="33" t="str">
        <f>IF(W$86=1,L96,IF(W$86="","",1-SUM($D96:K96)))</f>
        <v/>
      </c>
      <c r="X96" s="34" t="str">
        <f>IF(X$86=1,M96,IF(X$86="","",1-SUM($D96:L96)))</f>
        <v/>
      </c>
    </row>
    <row r="97" spans="1:30" x14ac:dyDescent="0.25">
      <c r="A97" s="522"/>
      <c r="B97" s="12">
        <v>0.11728121201676228</v>
      </c>
      <c r="C97" s="7">
        <v>9</v>
      </c>
      <c r="D97" s="35">
        <v>5.5632041038670567E-2</v>
      </c>
      <c r="E97" s="36">
        <v>5.7189738187753345E-2</v>
      </c>
      <c r="F97" s="36">
        <v>5.8791050857010439E-2</v>
      </c>
      <c r="G97" s="36">
        <v>6.0437200281006735E-2</v>
      </c>
      <c r="H97" s="36">
        <v>6.2129441888874926E-2</v>
      </c>
      <c r="I97" s="36">
        <v>6.3869066261763419E-2</v>
      </c>
      <c r="J97" s="36">
        <v>6.5657400117092798E-2</v>
      </c>
      <c r="K97" s="36">
        <v>6.7495807320371401E-2</v>
      </c>
      <c r="L97" s="36">
        <v>6.9385689925341804E-2</v>
      </c>
      <c r="M97" s="37">
        <v>0.43941256412211449</v>
      </c>
      <c r="O97" s="35">
        <f t="shared" si="8"/>
        <v>5.5632041038670567E-2</v>
      </c>
      <c r="P97" s="36">
        <f t="shared" si="10"/>
        <v>5.7189738187753345E-2</v>
      </c>
      <c r="Q97" s="36">
        <f>IF(Q$86=1,F97,IF(Q$86="","",1-SUM($D97:E97)))</f>
        <v>0.88717822077357611</v>
      </c>
      <c r="R97" s="36" t="str">
        <f>IF(R$86=1,G97,IF(R$86="","",1-SUM($D97:F97)))</f>
        <v/>
      </c>
      <c r="S97" s="36" t="str">
        <f>IF(S$86=1,H97,IF(S$86="","",1-SUM($D97:G97)))</f>
        <v/>
      </c>
      <c r="T97" s="36" t="str">
        <f>IF(T$86=1,I97,IF(T$86="","",1-SUM($D97:H97)))</f>
        <v/>
      </c>
      <c r="U97" s="36" t="str">
        <f>IF(U$86=1,J97,IF(U$86="","",1-SUM($D97:I97)))</f>
        <v/>
      </c>
      <c r="V97" s="36" t="str">
        <f>IF(V$86=1,K97,IF(V$86="","",1-SUM($D97:J97)))</f>
        <v/>
      </c>
      <c r="W97" s="36" t="str">
        <f>IF(W$86=1,L97,IF(W$86="","",1-SUM($D97:K97)))</f>
        <v/>
      </c>
      <c r="X97" s="37" t="str">
        <f>IF(X$86=1,M97,IF(X$86="","",1-SUM($D97:L97)))</f>
        <v/>
      </c>
    </row>
    <row r="98" spans="1:30" x14ac:dyDescent="0.25">
      <c r="B98" s="12"/>
    </row>
    <row r="99" spans="1:30" x14ac:dyDescent="0.25">
      <c r="B99" s="531" t="s">
        <v>15</v>
      </c>
      <c r="C99" s="197" t="s">
        <v>19</v>
      </c>
      <c r="E99" s="197" t="s">
        <v>16</v>
      </c>
      <c r="F99" s="197" t="s">
        <v>27</v>
      </c>
    </row>
    <row r="100" spans="1:30" x14ac:dyDescent="0.25">
      <c r="B100" s="510">
        <v>1</v>
      </c>
      <c r="C100" s="510">
        <f>1+F100</f>
        <v>1</v>
      </c>
      <c r="E100" s="510">
        <v>0</v>
      </c>
      <c r="F100" s="510">
        <v>0</v>
      </c>
      <c r="I100">
        <v>38</v>
      </c>
      <c r="J100" s="25">
        <f>1+I100</f>
        <v>39</v>
      </c>
      <c r="K100" s="25">
        <f>I101+1</f>
        <v>-35</v>
      </c>
      <c r="L100" s="25">
        <f>I102+1</f>
        <v>1.0876288938089047</v>
      </c>
    </row>
    <row r="101" spans="1:30" x14ac:dyDescent="0.25">
      <c r="B101" s="510">
        <v>1.2</v>
      </c>
      <c r="C101" s="510">
        <f t="shared" ref="C101:C109" si="11">1+F101</f>
        <v>1.2095861753745392</v>
      </c>
      <c r="E101" s="510">
        <v>0.2</v>
      </c>
      <c r="F101" s="510">
        <v>0.20958617537453919</v>
      </c>
      <c r="I101">
        <v>-36</v>
      </c>
    </row>
    <row r="102" spans="1:30" x14ac:dyDescent="0.25">
      <c r="B102" s="510">
        <v>1.4</v>
      </c>
      <c r="C102" s="510">
        <f t="shared" si="11"/>
        <v>1.419185239824897</v>
      </c>
      <c r="E102" s="510">
        <v>0.4</v>
      </c>
      <c r="F102" s="510">
        <v>0.41918523982489692</v>
      </c>
      <c r="I102">
        <v>8.7628893808904706E-2</v>
      </c>
    </row>
    <row r="103" spans="1:30" x14ac:dyDescent="0.25">
      <c r="B103" s="510">
        <v>1.6</v>
      </c>
      <c r="C103" s="510">
        <f t="shared" si="11"/>
        <v>1.6287976229869339</v>
      </c>
      <c r="E103" s="510">
        <v>0.60000000000000009</v>
      </c>
      <c r="F103" s="510">
        <v>0.62879762298693387</v>
      </c>
      <c r="I103" t="s">
        <v>232</v>
      </c>
    </row>
    <row r="104" spans="1:30" x14ac:dyDescent="0.25">
      <c r="B104" s="510">
        <v>1.8</v>
      </c>
      <c r="C104" s="510">
        <f t="shared" si="11"/>
        <v>1.8384237688177061</v>
      </c>
      <c r="E104" s="510">
        <v>0.8</v>
      </c>
      <c r="F104" s="510">
        <v>0.83842376881770597</v>
      </c>
    </row>
    <row r="105" spans="1:30" x14ac:dyDescent="0.25">
      <c r="B105" s="510">
        <v>2</v>
      </c>
      <c r="C105" s="510">
        <f t="shared" si="11"/>
        <v>2.0480641360728375</v>
      </c>
      <c r="E105" s="510">
        <v>1</v>
      </c>
      <c r="F105" s="510">
        <v>1.0480641360728375</v>
      </c>
    </row>
    <row r="106" spans="1:30" x14ac:dyDescent="0.25">
      <c r="B106" s="510">
        <v>2.2000000000000002</v>
      </c>
      <c r="C106" s="510">
        <f t="shared" si="11"/>
        <v>2.2577191987998075</v>
      </c>
      <c r="E106" s="510">
        <v>1.2000000000000002</v>
      </c>
      <c r="F106" s="510">
        <v>1.2577191987998078</v>
      </c>
    </row>
    <row r="107" spans="1:30" x14ac:dyDescent="0.25">
      <c r="B107" s="510">
        <v>2.4000000000000004</v>
      </c>
      <c r="C107" s="510">
        <f t="shared" si="11"/>
        <v>2.4673894468476774</v>
      </c>
      <c r="E107" s="510">
        <v>1.4000000000000001</v>
      </c>
      <c r="F107" s="510">
        <v>1.4673894468476774</v>
      </c>
    </row>
    <row r="108" spans="1:30" x14ac:dyDescent="0.25">
      <c r="B108" s="510">
        <v>2.6</v>
      </c>
      <c r="C108" s="510">
        <f t="shared" si="11"/>
        <v>2.6770753863938097</v>
      </c>
      <c r="E108" s="510">
        <v>1.6</v>
      </c>
      <c r="F108" s="510">
        <v>1.6770753863938097</v>
      </c>
    </row>
    <row r="109" spans="1:30" x14ac:dyDescent="0.25">
      <c r="B109" s="510">
        <v>2.8</v>
      </c>
      <c r="C109" s="510">
        <f t="shared" si="11"/>
        <v>2.8867775404881471</v>
      </c>
      <c r="E109" s="510">
        <v>1.8</v>
      </c>
      <c r="F109" s="510">
        <v>1.8867775404881473</v>
      </c>
    </row>
    <row r="111" spans="1:30" x14ac:dyDescent="0.25">
      <c r="L111" s="11"/>
      <c r="M111" s="11"/>
      <c r="N111" s="11"/>
      <c r="O111" s="11"/>
      <c r="P111" s="11"/>
      <c r="Q111" s="11"/>
      <c r="R111" s="11"/>
      <c r="S111" s="11"/>
      <c r="T111" s="11"/>
      <c r="U111" s="11"/>
      <c r="V111" s="11"/>
      <c r="W111" s="11"/>
      <c r="X111" s="11"/>
      <c r="Y111" s="11"/>
      <c r="Z111" s="11"/>
      <c r="AA111" s="11"/>
      <c r="AB111" s="11"/>
      <c r="AC111" s="11"/>
      <c r="AD111" s="11"/>
    </row>
    <row r="112" spans="1:30" s="344" customFormat="1" x14ac:dyDescent="0.25">
      <c r="A112" s="492"/>
      <c r="B112" s="493"/>
      <c r="C112" s="493"/>
      <c r="D112" s="493"/>
      <c r="E112" s="493"/>
      <c r="F112" s="493"/>
      <c r="G112" s="494"/>
      <c r="H112" s="966" t="s">
        <v>162</v>
      </c>
      <c r="I112" s="966"/>
      <c r="J112" s="966"/>
      <c r="K112" s="966"/>
      <c r="L112" s="354"/>
      <c r="M112" s="354"/>
      <c r="N112" s="354"/>
      <c r="O112" s="354"/>
      <c r="P112" s="354"/>
      <c r="Q112" s="354"/>
      <c r="R112" s="354"/>
      <c r="S112" s="538"/>
      <c r="T112" s="538"/>
      <c r="U112" s="538"/>
      <c r="V112" s="538"/>
      <c r="W112" s="538"/>
      <c r="X112" s="539"/>
      <c r="Y112" s="539"/>
      <c r="Z112" s="354"/>
      <c r="AA112" s="354"/>
      <c r="AB112" s="354"/>
      <c r="AC112" s="354"/>
      <c r="AD112" s="354"/>
    </row>
    <row r="113" spans="1:30" s="344" customFormat="1" x14ac:dyDescent="0.25">
      <c r="A113" s="493"/>
      <c r="B113" s="493"/>
      <c r="C113" s="493"/>
      <c r="D113" s="493"/>
      <c r="E113" s="493"/>
      <c r="F113" s="493"/>
      <c r="G113" s="495"/>
      <c r="H113" s="966" t="s">
        <v>116</v>
      </c>
      <c r="I113" s="966"/>
      <c r="J113" s="966"/>
      <c r="K113" s="966"/>
      <c r="L113" s="354"/>
      <c r="M113" s="354"/>
      <c r="N113" s="354"/>
      <c r="O113" s="354"/>
      <c r="P113" s="354"/>
      <c r="Q113" s="354"/>
      <c r="R113" s="354"/>
      <c r="S113" s="538"/>
      <c r="T113" s="538"/>
      <c r="U113" s="538"/>
      <c r="V113" s="538"/>
      <c r="W113" s="538"/>
      <c r="X113" s="539"/>
      <c r="Y113" s="539"/>
      <c r="Z113" s="354"/>
      <c r="AA113" s="354"/>
      <c r="AB113" s="354"/>
      <c r="AC113" s="354"/>
      <c r="AD113" s="354"/>
    </row>
    <row r="114" spans="1:30" s="344" customFormat="1" x14ac:dyDescent="0.25">
      <c r="A114" s="532" t="s">
        <v>161</v>
      </c>
      <c r="B114" s="493" t="s">
        <v>15</v>
      </c>
      <c r="C114" s="532" t="s">
        <v>92</v>
      </c>
      <c r="D114" s="532" t="s">
        <v>16</v>
      </c>
      <c r="E114" s="532" t="s">
        <v>54</v>
      </c>
      <c r="F114" s="532" t="s">
        <v>105</v>
      </c>
      <c r="G114" s="494"/>
      <c r="H114" s="496" t="s">
        <v>112</v>
      </c>
      <c r="I114" s="496" t="s">
        <v>113</v>
      </c>
      <c r="J114" s="496" t="s">
        <v>114</v>
      </c>
      <c r="K114" s="496" t="s">
        <v>115</v>
      </c>
      <c r="L114" s="354"/>
      <c r="M114" s="540"/>
      <c r="N114" s="541"/>
      <c r="O114" s="542"/>
      <c r="P114" s="354"/>
      <c r="Q114" s="354"/>
      <c r="R114" s="354"/>
      <c r="S114" s="538"/>
      <c r="T114" s="538"/>
      <c r="U114" s="538"/>
      <c r="V114" s="538"/>
      <c r="W114" s="538"/>
      <c r="X114" s="539"/>
      <c r="Y114" s="539"/>
      <c r="Z114" s="354"/>
      <c r="AA114" s="354"/>
      <c r="AB114" s="354"/>
      <c r="AC114" s="354"/>
      <c r="AD114" s="354"/>
    </row>
    <row r="115" spans="1:30" s="344" customFormat="1" x14ac:dyDescent="0.25">
      <c r="A115" s="497">
        <v>0</v>
      </c>
      <c r="B115" s="498">
        <v>1</v>
      </c>
      <c r="C115" s="483">
        <v>250</v>
      </c>
      <c r="D115" s="498">
        <v>0</v>
      </c>
      <c r="E115" s="484">
        <v>0.621</v>
      </c>
      <c r="F115" s="483">
        <v>0</v>
      </c>
      <c r="G115" s="487"/>
      <c r="H115" s="484">
        <v>0.14313599999999999</v>
      </c>
      <c r="I115" s="484">
        <v>0.32052199999999997</v>
      </c>
      <c r="J115" s="484">
        <v>0.24514900000000001</v>
      </c>
      <c r="K115" s="484">
        <v>0.29119299999999998</v>
      </c>
      <c r="L115" s="354"/>
      <c r="M115" s="543">
        <v>1</v>
      </c>
      <c r="N115" s="543">
        <v>1</v>
      </c>
      <c r="O115" s="544"/>
      <c r="P115" s="538">
        <f>M115-1</f>
        <v>0</v>
      </c>
      <c r="Q115" s="538">
        <f t="shared" ref="Q115:Q124" si="12">N115-1</f>
        <v>0</v>
      </c>
      <c r="R115" s="354"/>
      <c r="S115" s="354"/>
      <c r="T115" s="354"/>
      <c r="U115" s="354"/>
      <c r="V115" s="354"/>
      <c r="W115" s="354"/>
      <c r="X115" s="354"/>
      <c r="Y115" s="354"/>
      <c r="Z115" s="354"/>
      <c r="AA115" s="354"/>
      <c r="AB115" s="354"/>
      <c r="AC115" s="354"/>
      <c r="AD115" s="354"/>
    </row>
    <row r="116" spans="1:30" s="344" customFormat="1" x14ac:dyDescent="0.25">
      <c r="A116" s="497" t="s">
        <v>106</v>
      </c>
      <c r="B116" s="499">
        <v>1.26</v>
      </c>
      <c r="C116" s="483">
        <v>678.59253852182269</v>
      </c>
      <c r="D116" s="498">
        <v>0.26</v>
      </c>
      <c r="E116" s="484">
        <v>0.218</v>
      </c>
      <c r="F116" s="483">
        <v>6.6524299999999998</v>
      </c>
      <c r="G116" s="487"/>
      <c r="H116" s="484">
        <v>0.16232500000000002</v>
      </c>
      <c r="I116" s="484">
        <v>0.31692500000000001</v>
      </c>
      <c r="J116" s="484">
        <v>0.23321500000000001</v>
      </c>
      <c r="K116" s="484">
        <v>0.28753499999999999</v>
      </c>
      <c r="L116" s="354"/>
      <c r="M116" s="543">
        <v>1.26</v>
      </c>
      <c r="N116" s="543">
        <v>1.2487883933412958</v>
      </c>
      <c r="O116" s="544"/>
      <c r="P116" s="538">
        <f t="shared" ref="P116:P124" si="13">M116-1</f>
        <v>0.26</v>
      </c>
      <c r="Q116" s="538">
        <f t="shared" si="12"/>
        <v>0.24878839334129577</v>
      </c>
      <c r="R116" s="354"/>
      <c r="S116" s="354"/>
      <c r="T116" s="354"/>
      <c r="U116" s="354"/>
      <c r="V116" s="354"/>
      <c r="W116" s="354"/>
      <c r="X116" s="354"/>
      <c r="Y116" s="354"/>
      <c r="Z116" s="354"/>
      <c r="AA116" s="354"/>
      <c r="AB116" s="354"/>
      <c r="AC116" s="354"/>
      <c r="AD116" s="354"/>
    </row>
    <row r="117" spans="1:30" s="344" customFormat="1" x14ac:dyDescent="0.25">
      <c r="A117" s="497" t="s">
        <v>98</v>
      </c>
      <c r="B117" s="499">
        <v>1.59</v>
      </c>
      <c r="C117" s="483">
        <v>269.8590076390488</v>
      </c>
      <c r="D117" s="498">
        <v>0.59000000000000008</v>
      </c>
      <c r="E117" s="484">
        <v>5.2999999999999999E-2</v>
      </c>
      <c r="F117" s="483">
        <v>23.531600000000001</v>
      </c>
      <c r="G117" s="487"/>
      <c r="H117" s="484">
        <v>0.22681599999999999</v>
      </c>
      <c r="I117" s="484">
        <v>0.35488700000000001</v>
      </c>
      <c r="J117" s="484">
        <v>0.23813500000000001</v>
      </c>
      <c r="K117" s="484">
        <v>0.18016199999999999</v>
      </c>
      <c r="L117" s="354"/>
      <c r="M117" s="543">
        <v>1.59</v>
      </c>
      <c r="N117" s="543">
        <v>1.4820978151502622</v>
      </c>
      <c r="O117" s="544"/>
      <c r="P117" s="538">
        <f t="shared" si="13"/>
        <v>0.59000000000000008</v>
      </c>
      <c r="Q117" s="538">
        <f t="shared" si="12"/>
        <v>0.48209781515026218</v>
      </c>
      <c r="R117" s="354"/>
      <c r="S117" s="354"/>
      <c r="T117" s="354"/>
      <c r="U117" s="354"/>
      <c r="V117" s="354"/>
      <c r="W117" s="354"/>
      <c r="X117" s="354"/>
      <c r="Y117" s="354"/>
      <c r="Z117" s="354"/>
      <c r="AA117" s="354"/>
      <c r="AB117" s="354"/>
      <c r="AC117" s="354"/>
      <c r="AD117" s="354"/>
    </row>
    <row r="118" spans="1:30" s="344" customFormat="1" x14ac:dyDescent="0.25">
      <c r="A118" s="497" t="s">
        <v>108</v>
      </c>
      <c r="B118" s="499">
        <v>1.67</v>
      </c>
      <c r="C118" s="483">
        <v>204.84423461094022</v>
      </c>
      <c r="D118" s="498">
        <v>0.66999999999999993</v>
      </c>
      <c r="E118" s="484">
        <v>3.9E-2</v>
      </c>
      <c r="F118" s="483">
        <v>33.539400000000001</v>
      </c>
      <c r="G118" s="487"/>
      <c r="H118" s="484">
        <v>0.21522200000000002</v>
      </c>
      <c r="I118" s="484">
        <v>0.36678400000000005</v>
      </c>
      <c r="J118" s="484">
        <v>0.19762299999999999</v>
      </c>
      <c r="K118" s="484">
        <v>0.22037099999999998</v>
      </c>
      <c r="L118" s="354"/>
      <c r="M118" s="543">
        <v>1.67</v>
      </c>
      <c r="N118" s="543">
        <v>1.5734470077672871</v>
      </c>
      <c r="O118" s="544"/>
      <c r="P118" s="538">
        <f t="shared" si="13"/>
        <v>0.66999999999999993</v>
      </c>
      <c r="Q118" s="538">
        <f t="shared" si="12"/>
        <v>0.57344700776728708</v>
      </c>
      <c r="R118" s="354"/>
      <c r="S118" s="354"/>
      <c r="T118" s="354"/>
      <c r="U118" s="354"/>
      <c r="V118" s="354"/>
      <c r="W118" s="354"/>
      <c r="X118" s="354"/>
      <c r="Y118" s="354"/>
      <c r="Z118" s="354"/>
      <c r="AA118" s="354"/>
      <c r="AB118" s="354"/>
      <c r="AC118" s="354"/>
      <c r="AD118" s="354"/>
    </row>
    <row r="119" spans="1:30" s="344" customFormat="1" x14ac:dyDescent="0.25">
      <c r="A119" s="497" t="s">
        <v>109</v>
      </c>
      <c r="B119" s="499">
        <v>1.98</v>
      </c>
      <c r="C119" s="483">
        <v>174.89185122952264</v>
      </c>
      <c r="D119" s="498">
        <v>0.98</v>
      </c>
      <c r="E119" s="484">
        <v>2.5000000000000001E-2</v>
      </c>
      <c r="F119" s="483">
        <v>43.674599999999998</v>
      </c>
      <c r="G119" s="487"/>
      <c r="H119" s="484">
        <v>0.255994</v>
      </c>
      <c r="I119" s="484">
        <v>0.35098999999999997</v>
      </c>
      <c r="J119" s="484">
        <v>0.198911</v>
      </c>
      <c r="K119" s="484">
        <v>0.194105</v>
      </c>
      <c r="L119" s="354"/>
      <c r="M119" s="543">
        <v>1.98</v>
      </c>
      <c r="N119" s="543">
        <v>1.8290780124877151</v>
      </c>
      <c r="O119" s="544"/>
      <c r="P119" s="538">
        <f t="shared" si="13"/>
        <v>0.98</v>
      </c>
      <c r="Q119" s="538">
        <f t="shared" si="12"/>
        <v>0.82907801248771507</v>
      </c>
      <c r="R119" s="354"/>
      <c r="S119" s="354"/>
      <c r="T119" s="354"/>
      <c r="U119" s="354"/>
      <c r="V119" s="354"/>
      <c r="W119" s="354"/>
      <c r="X119" s="354"/>
      <c r="Y119" s="354"/>
      <c r="Z119" s="354"/>
      <c r="AA119" s="354"/>
      <c r="AB119" s="354"/>
      <c r="AC119" s="354"/>
      <c r="AD119" s="354"/>
    </row>
    <row r="120" spans="1:30" s="344" customFormat="1" x14ac:dyDescent="0.25">
      <c r="A120" s="497" t="s">
        <v>110</v>
      </c>
      <c r="B120" s="499">
        <v>2.1800000000000002</v>
      </c>
      <c r="C120" s="483">
        <v>80.342980609274747</v>
      </c>
      <c r="D120" s="498">
        <v>1.1800000000000002</v>
      </c>
      <c r="E120" s="484">
        <v>1.4999999999999999E-2</v>
      </c>
      <c r="F120" s="483">
        <v>53.618000000000002</v>
      </c>
      <c r="G120" s="487"/>
      <c r="H120" s="484">
        <v>0.26041199999999998</v>
      </c>
      <c r="I120" s="484">
        <v>0.33719199999999999</v>
      </c>
      <c r="J120" s="484">
        <v>0.18612100000000001</v>
      </c>
      <c r="K120" s="484">
        <v>0.21627500000000002</v>
      </c>
      <c r="L120" s="354"/>
      <c r="M120" s="543">
        <v>2.1800000000000002</v>
      </c>
      <c r="N120" s="543">
        <v>2.0256068332127941</v>
      </c>
      <c r="O120" s="544"/>
      <c r="P120" s="538">
        <f t="shared" si="13"/>
        <v>1.1800000000000002</v>
      </c>
      <c r="Q120" s="538">
        <f t="shared" si="12"/>
        <v>1.0256068332127941</v>
      </c>
      <c r="R120" s="354"/>
      <c r="S120" s="354"/>
      <c r="T120" s="354"/>
      <c r="U120" s="354"/>
      <c r="V120" s="354"/>
      <c r="W120" s="354"/>
      <c r="X120" s="354"/>
      <c r="Y120" s="354"/>
      <c r="Z120" s="354"/>
      <c r="AA120" s="354"/>
      <c r="AB120" s="354"/>
      <c r="AC120" s="354"/>
      <c r="AD120" s="354"/>
    </row>
    <row r="121" spans="1:30" s="344" customFormat="1" x14ac:dyDescent="0.25">
      <c r="A121" s="497" t="s">
        <v>111</v>
      </c>
      <c r="B121" s="499">
        <v>2.2599999999999998</v>
      </c>
      <c r="C121" s="483">
        <v>192.45506233444695</v>
      </c>
      <c r="D121" s="498">
        <v>1.2599999999999998</v>
      </c>
      <c r="E121" s="484">
        <v>2.9000000000000001E-2</v>
      </c>
      <c r="F121" s="483">
        <v>80.8767</v>
      </c>
      <c r="G121" s="487"/>
      <c r="H121" s="484">
        <v>0.26688699999999999</v>
      </c>
      <c r="I121" s="484">
        <v>0.33310400000000001</v>
      </c>
      <c r="J121" s="484">
        <v>0.20542199999999999</v>
      </c>
      <c r="K121" s="484">
        <v>0.19458700000000001</v>
      </c>
      <c r="L121" s="354"/>
      <c r="M121" s="543">
        <v>2.2599999999999998</v>
      </c>
      <c r="N121" s="543">
        <v>2.0866454800167236</v>
      </c>
      <c r="O121" s="544"/>
      <c r="P121" s="538">
        <f t="shared" si="13"/>
        <v>1.2599999999999998</v>
      </c>
      <c r="Q121" s="538">
        <f t="shared" si="12"/>
        <v>1.0866454800167236</v>
      </c>
      <c r="R121" s="354"/>
      <c r="S121" s="354"/>
      <c r="T121" s="354"/>
      <c r="U121" s="354"/>
      <c r="V121" s="354"/>
      <c r="W121" s="354"/>
      <c r="X121" s="354"/>
      <c r="Y121" s="354"/>
      <c r="Z121" s="354"/>
      <c r="AA121" s="354"/>
      <c r="AB121" s="354"/>
      <c r="AC121" s="354"/>
      <c r="AD121" s="354"/>
    </row>
    <row r="122" spans="1:30" s="344" customFormat="1" x14ac:dyDescent="0.25">
      <c r="A122" s="487"/>
      <c r="B122" s="487"/>
      <c r="C122" s="487"/>
      <c r="D122" s="487"/>
      <c r="E122" s="487"/>
      <c r="F122" s="487"/>
      <c r="G122" s="487"/>
      <c r="H122" s="484">
        <f>H121+0.005</f>
        <v>0.27188699999999999</v>
      </c>
      <c r="I122" s="484">
        <f>I121+0.003</f>
        <v>0.33610400000000001</v>
      </c>
      <c r="J122" s="484">
        <f>J121-0.003</f>
        <v>0.20242199999999999</v>
      </c>
      <c r="K122" s="484">
        <f>K121-0.005</f>
        <v>0.18958700000000001</v>
      </c>
      <c r="L122" s="539"/>
      <c r="M122" s="538">
        <v>2.4</v>
      </c>
      <c r="N122" s="538">
        <v>2.207299112486151</v>
      </c>
      <c r="O122" s="354"/>
      <c r="P122" s="538">
        <f t="shared" si="13"/>
        <v>1.4</v>
      </c>
      <c r="Q122" s="538">
        <f t="shared" si="12"/>
        <v>1.207299112486151</v>
      </c>
      <c r="R122" s="354"/>
      <c r="S122" s="354"/>
      <c r="T122" s="354"/>
      <c r="U122" s="354"/>
      <c r="V122" s="354"/>
      <c r="W122" s="354"/>
      <c r="X122" s="354"/>
      <c r="Y122" s="354"/>
      <c r="Z122" s="354"/>
      <c r="AA122" s="354"/>
      <c r="AB122" s="354"/>
      <c r="AC122" s="354"/>
      <c r="AD122" s="354"/>
    </row>
    <row r="123" spans="1:30" s="344" customFormat="1" x14ac:dyDescent="0.25">
      <c r="A123" s="487"/>
      <c r="B123" s="487"/>
      <c r="C123" s="487"/>
      <c r="D123" s="487"/>
      <c r="E123" s="487"/>
      <c r="F123" s="487"/>
      <c r="H123" s="484">
        <f>H122+0.004</f>
        <v>0.27588699999999999</v>
      </c>
      <c r="I123" s="484">
        <f>I122+0.003</f>
        <v>0.33910400000000002</v>
      </c>
      <c r="J123" s="484">
        <f>J122-0.003</f>
        <v>0.19942199999999999</v>
      </c>
      <c r="K123" s="484">
        <f>K122-0.004</f>
        <v>0.185587</v>
      </c>
      <c r="L123" s="539"/>
      <c r="M123" s="538">
        <v>3</v>
      </c>
      <c r="N123" s="538">
        <v>2.7501979439808411</v>
      </c>
      <c r="O123" s="354"/>
      <c r="P123" s="538">
        <f t="shared" si="13"/>
        <v>2</v>
      </c>
      <c r="Q123" s="538">
        <f t="shared" si="12"/>
        <v>1.7501979439808411</v>
      </c>
      <c r="R123" s="354"/>
      <c r="S123" s="354"/>
      <c r="T123" s="354"/>
      <c r="U123" s="354"/>
      <c r="V123" s="354"/>
      <c r="W123" s="354"/>
      <c r="X123" s="354"/>
      <c r="Y123" s="354"/>
      <c r="Z123" s="354"/>
      <c r="AA123" s="354"/>
      <c r="AB123" s="354"/>
      <c r="AC123" s="354"/>
      <c r="AD123" s="354"/>
    </row>
    <row r="124" spans="1:30" s="344" customFormat="1" x14ac:dyDescent="0.25">
      <c r="A124" s="487"/>
      <c r="B124" s="487"/>
      <c r="C124" s="487"/>
      <c r="D124" s="487"/>
      <c r="E124" s="487"/>
      <c r="F124" s="487"/>
      <c r="H124" s="484">
        <f>H123+0.004</f>
        <v>0.279887</v>
      </c>
      <c r="I124" s="484">
        <f>I123+0.003</f>
        <v>0.34210400000000002</v>
      </c>
      <c r="J124" s="484">
        <f>J123-0.003</f>
        <v>0.19642199999999999</v>
      </c>
      <c r="K124" s="484">
        <f>K123-0.004</f>
        <v>0.181587</v>
      </c>
      <c r="L124" s="539"/>
      <c r="M124" s="538">
        <v>3.5</v>
      </c>
      <c r="N124" s="538">
        <v>3.1982178236978021</v>
      </c>
      <c r="O124" s="354"/>
      <c r="P124" s="538">
        <f t="shared" si="13"/>
        <v>2.5</v>
      </c>
      <c r="Q124" s="538">
        <f t="shared" si="12"/>
        <v>2.1982178236978021</v>
      </c>
      <c r="R124" s="354"/>
      <c r="S124" s="354"/>
      <c r="T124" s="354"/>
      <c r="U124" s="354"/>
      <c r="V124" s="354"/>
      <c r="W124" s="354"/>
      <c r="X124" s="354"/>
      <c r="Y124" s="354"/>
      <c r="Z124" s="354"/>
      <c r="AA124" s="354"/>
      <c r="AB124" s="354"/>
      <c r="AC124" s="354"/>
      <c r="AD124" s="354"/>
    </row>
    <row r="125" spans="1:30" x14ac:dyDescent="0.25">
      <c r="L125" s="11"/>
      <c r="M125" s="11"/>
      <c r="N125" s="11"/>
      <c r="O125" s="11"/>
      <c r="P125" s="11"/>
      <c r="Q125" s="11"/>
      <c r="R125" s="11"/>
      <c r="S125" s="11"/>
      <c r="T125" s="11"/>
      <c r="U125" s="11"/>
      <c r="V125" s="11"/>
      <c r="W125" s="11"/>
      <c r="X125" s="11"/>
      <c r="Y125" s="11"/>
      <c r="Z125" s="11"/>
      <c r="AA125" s="11"/>
      <c r="AB125" s="11"/>
      <c r="AC125" s="11"/>
      <c r="AD125" s="11"/>
    </row>
    <row r="128" spans="1:30" x14ac:dyDescent="0.25">
      <c r="G128" s="515" t="s">
        <v>81</v>
      </c>
      <c r="H128" s="498">
        <v>1</v>
      </c>
      <c r="I128" s="498">
        <v>0.84</v>
      </c>
      <c r="J128" s="499">
        <v>0.66</v>
      </c>
      <c r="K128" s="499">
        <v>0.5</v>
      </c>
    </row>
    <row r="129" spans="1:29" x14ac:dyDescent="0.25">
      <c r="G129" s="515" t="s">
        <v>226</v>
      </c>
      <c r="H129" s="498">
        <v>0</v>
      </c>
      <c r="I129" s="498">
        <v>-0.16000000000000003</v>
      </c>
      <c r="J129" s="498">
        <v>-0.33999999999999997</v>
      </c>
      <c r="K129" s="498">
        <v>-0.5</v>
      </c>
    </row>
    <row r="132" spans="1:29" s="344" customFormat="1" ht="18.75" x14ac:dyDescent="0.3">
      <c r="A132" s="469" t="s">
        <v>145</v>
      </c>
      <c r="W132" s="476"/>
      <c r="X132" s="476"/>
      <c r="Y132" s="476"/>
      <c r="Z132" s="476"/>
      <c r="AA132" s="476"/>
      <c r="AB132" s="477"/>
      <c r="AC132" s="477"/>
    </row>
    <row r="133" spans="1:29" s="344" customFormat="1" x14ac:dyDescent="0.25">
      <c r="A133" s="492"/>
      <c r="B133" s="493"/>
      <c r="C133" s="493"/>
      <c r="D133" s="493"/>
      <c r="E133" s="493"/>
      <c r="F133" s="493"/>
      <c r="G133" s="494"/>
      <c r="H133" s="966" t="s">
        <v>162</v>
      </c>
      <c r="I133" s="966"/>
      <c r="J133" s="966"/>
      <c r="K133" s="966"/>
      <c r="L133" s="532"/>
      <c r="M133" s="532"/>
      <c r="N133" s="532"/>
      <c r="V133" s="476"/>
      <c r="W133" s="476"/>
      <c r="X133" s="476"/>
      <c r="Y133" s="476"/>
      <c r="Z133" s="476"/>
      <c r="AA133" s="477"/>
      <c r="AB133" s="477"/>
    </row>
    <row r="134" spans="1:29" s="344" customFormat="1" x14ac:dyDescent="0.25">
      <c r="A134" s="493"/>
      <c r="B134" s="493"/>
      <c r="C134" s="493"/>
      <c r="D134" s="493"/>
      <c r="E134" s="493"/>
      <c r="F134" s="493"/>
      <c r="G134" s="495"/>
      <c r="H134" s="966" t="s">
        <v>116</v>
      </c>
      <c r="I134" s="966"/>
      <c r="J134" s="966"/>
      <c r="K134" s="966"/>
      <c r="L134" s="532"/>
      <c r="M134" s="532"/>
      <c r="N134" s="532"/>
      <c r="R134" t="s">
        <v>233</v>
      </c>
      <c r="S134" s="7">
        <v>1</v>
      </c>
      <c r="T134" s="7">
        <v>1</v>
      </c>
      <c r="U134" s="7">
        <v>0</v>
      </c>
      <c r="V134" s="7"/>
      <c r="W134" s="7"/>
      <c r="X134" s="7"/>
      <c r="Y134" s="7"/>
      <c r="Z134" s="7"/>
      <c r="AA134" s="7"/>
      <c r="AB134" s="477"/>
    </row>
    <row r="135" spans="1:29" s="344" customFormat="1" x14ac:dyDescent="0.25">
      <c r="A135" s="532" t="s">
        <v>161</v>
      </c>
      <c r="B135" s="493" t="s">
        <v>15</v>
      </c>
      <c r="C135" s="532" t="s">
        <v>92</v>
      </c>
      <c r="D135" s="532" t="s">
        <v>16</v>
      </c>
      <c r="E135" s="532" t="s">
        <v>54</v>
      </c>
      <c r="F135" s="532" t="s">
        <v>105</v>
      </c>
      <c r="G135" s="494"/>
      <c r="H135" s="496" t="s">
        <v>112</v>
      </c>
      <c r="I135" s="496" t="s">
        <v>113</v>
      </c>
      <c r="J135" s="496" t="s">
        <v>114</v>
      </c>
      <c r="K135" s="496" t="s">
        <v>115</v>
      </c>
      <c r="L135" s="496"/>
      <c r="M135" s="496"/>
      <c r="N135" s="496"/>
      <c r="P135" s="470"/>
      <c r="Q135" s="474"/>
      <c r="R135" s="7">
        <v>0</v>
      </c>
      <c r="S135" s="7">
        <v>1</v>
      </c>
      <c r="T135" s="7">
        <v>2</v>
      </c>
      <c r="U135" s="7">
        <v>3</v>
      </c>
      <c r="V135" s="7">
        <v>4</v>
      </c>
      <c r="W135" s="7">
        <v>5</v>
      </c>
      <c r="X135" s="7">
        <v>6</v>
      </c>
      <c r="Y135" s="7">
        <v>7</v>
      </c>
      <c r="Z135" s="7">
        <v>8</v>
      </c>
      <c r="AA135" s="7">
        <v>9</v>
      </c>
      <c r="AB135" s="477"/>
    </row>
    <row r="136" spans="1:29" s="344" customFormat="1" x14ac:dyDescent="0.25">
      <c r="A136" s="497">
        <v>0</v>
      </c>
      <c r="B136" s="498">
        <v>1</v>
      </c>
      <c r="C136" s="483">
        <v>250</v>
      </c>
      <c r="D136" s="498">
        <v>0</v>
      </c>
      <c r="E136" s="484">
        <v>0.621</v>
      </c>
      <c r="F136" s="483">
        <v>0</v>
      </c>
      <c r="G136" s="487"/>
      <c r="H136" s="484">
        <v>7.1567999999999993E-2</v>
      </c>
      <c r="I136" s="484">
        <v>0.16026099999999999</v>
      </c>
      <c r="J136" s="484">
        <v>0.1225745</v>
      </c>
      <c r="K136" s="484">
        <v>0.14559649999999999</v>
      </c>
      <c r="L136" s="484">
        <v>7.1567999999999993E-2</v>
      </c>
      <c r="M136" s="484">
        <v>0.16026099999999999</v>
      </c>
      <c r="N136" s="484">
        <v>0.1225745</v>
      </c>
      <c r="O136" s="476">
        <v>0.14559649999999999</v>
      </c>
      <c r="P136" s="472"/>
      <c r="Q136" s="473"/>
      <c r="R136" s="29">
        <f t="shared" ref="R136:R141" si="14">H136</f>
        <v>7.1567999999999993E-2</v>
      </c>
      <c r="S136" s="30">
        <f t="shared" ref="S136:S145" si="15">IF(P$86=1,I136,1-R136)</f>
        <v>0.16026099999999999</v>
      </c>
      <c r="T136" s="30">
        <f>IF(T$134=1,J136,IF(T$134="","",1-SUM($R136:S136)))</f>
        <v>0.1225745</v>
      </c>
      <c r="U136" s="30">
        <f>IF(U$134=1,K136,IF(U$134="","",1-SUM($R136:T136)))</f>
        <v>0.64559650000000002</v>
      </c>
      <c r="V136" s="30" t="str">
        <f>IF(V$134=1,L136,IF(V$134="","",1-SUM($R136:U136)))</f>
        <v/>
      </c>
      <c r="W136" s="30" t="str">
        <f>IF(W$134=1,M136,IF(W$134="","",1-SUM($R136:V136)))</f>
        <v/>
      </c>
      <c r="X136" s="30" t="str">
        <f>IF(X$134=1,N136,IF(X$134="","",1-SUM($R136:W136)))</f>
        <v/>
      </c>
      <c r="Y136" s="30" t="str">
        <f>IF(Y$134=1,O136,IF(Y$134="","",1-SUM($R136:X136)))</f>
        <v/>
      </c>
      <c r="Z136" s="30" t="str">
        <f>IF(Z$134=1,P136,IF(Z$134="","",1-SUM($R136:Y136)))</f>
        <v/>
      </c>
      <c r="AA136" s="31" t="str">
        <f>IF(AA$134=1,Q136,IF(AA$134="","",1-SUM($R136:Z136)))</f>
        <v/>
      </c>
    </row>
    <row r="137" spans="1:29" s="344" customFormat="1" x14ac:dyDescent="0.25">
      <c r="A137" s="497" t="s">
        <v>106</v>
      </c>
      <c r="B137" s="499">
        <v>1.26</v>
      </c>
      <c r="C137" s="483">
        <v>678.59253852182269</v>
      </c>
      <c r="D137" s="498">
        <v>0.26</v>
      </c>
      <c r="E137" s="484">
        <v>0.218</v>
      </c>
      <c r="F137" s="483">
        <v>6.6524299999999998</v>
      </c>
      <c r="G137" s="487"/>
      <c r="H137" s="484">
        <v>8.1162500000000012E-2</v>
      </c>
      <c r="I137" s="484">
        <v>0.15846250000000001</v>
      </c>
      <c r="J137" s="484">
        <v>0.1166075</v>
      </c>
      <c r="K137" s="484">
        <v>0.14376749999999999</v>
      </c>
      <c r="L137" s="484">
        <v>8.1162500000000012E-2</v>
      </c>
      <c r="M137" s="484">
        <v>0.15846250000000001</v>
      </c>
      <c r="N137" s="484">
        <v>0.1166075</v>
      </c>
      <c r="O137" s="476">
        <v>0.14376749999999999</v>
      </c>
      <c r="P137" s="472"/>
      <c r="Q137" s="473"/>
      <c r="R137" s="32">
        <f t="shared" si="14"/>
        <v>8.1162500000000012E-2</v>
      </c>
      <c r="S137" s="33">
        <f t="shared" si="15"/>
        <v>0.15846250000000001</v>
      </c>
      <c r="T137" s="33">
        <f>IF(T$134=1,J137,IF(T$134="","",1-SUM($R137:S137)))</f>
        <v>0.1166075</v>
      </c>
      <c r="U137" s="33">
        <f>IF(U$134=1,K137,IF(U$134="","",1-SUM($R137:T137)))</f>
        <v>0.64376749999999994</v>
      </c>
      <c r="V137" s="33" t="str">
        <f>IF(V$134=1,L137,IF(V$134="","",1-SUM($R137:U137)))</f>
        <v/>
      </c>
      <c r="W137" s="33" t="str">
        <f>IF(W$134=1,M137,IF(W$134="","",1-SUM($R137:V137)))</f>
        <v/>
      </c>
      <c r="X137" s="33" t="str">
        <f>IF(X$134=1,N137,IF(X$134="","",1-SUM($R137:W137)))</f>
        <v/>
      </c>
      <c r="Y137" s="33" t="str">
        <f>IF(Y$134=1,O137,IF(Y$134="","",1-SUM($R137:X137)))</f>
        <v/>
      </c>
      <c r="Z137" s="33" t="str">
        <f>IF(Z$134=1,P137,IF(Z$134="","",1-SUM($R137:Y137)))</f>
        <v/>
      </c>
      <c r="AA137" s="34" t="str">
        <f>IF(AA$134=1,Q137,IF(AA$134="","",1-SUM($R137:Z137)))</f>
        <v/>
      </c>
    </row>
    <row r="138" spans="1:29" s="344" customFormat="1" x14ac:dyDescent="0.25">
      <c r="A138" s="497" t="s">
        <v>98</v>
      </c>
      <c r="B138" s="499">
        <v>1.59</v>
      </c>
      <c r="C138" s="483">
        <v>269.8590076390488</v>
      </c>
      <c r="D138" s="498">
        <v>0.59000000000000008</v>
      </c>
      <c r="E138" s="484">
        <v>5.2999999999999999E-2</v>
      </c>
      <c r="F138" s="483">
        <v>23.531600000000001</v>
      </c>
      <c r="G138" s="487"/>
      <c r="H138" s="484">
        <v>0.11340799999999999</v>
      </c>
      <c r="I138" s="484">
        <v>0.1774435</v>
      </c>
      <c r="J138" s="484">
        <v>0.11906750000000001</v>
      </c>
      <c r="K138" s="484">
        <v>9.0080999999999994E-2</v>
      </c>
      <c r="L138" s="484">
        <v>0.11340799999999999</v>
      </c>
      <c r="M138" s="484">
        <v>0.1774435</v>
      </c>
      <c r="N138" s="484">
        <v>0.11906750000000001</v>
      </c>
      <c r="O138" s="476">
        <v>9.0080999999999994E-2</v>
      </c>
      <c r="P138" s="472"/>
      <c r="Q138" s="473"/>
      <c r="R138" s="32">
        <f t="shared" si="14"/>
        <v>0.11340799999999999</v>
      </c>
      <c r="S138" s="33">
        <f t="shared" si="15"/>
        <v>0.1774435</v>
      </c>
      <c r="T138" s="33">
        <f>IF(T$134=1,J138,IF(T$134="","",1-SUM($R138:S138)))</f>
        <v>0.11906750000000001</v>
      </c>
      <c r="U138" s="33">
        <f>IF(U$134=1,K138,IF(U$134="","",1-SUM($R138:T138)))</f>
        <v>0.59008100000000008</v>
      </c>
      <c r="V138" s="33" t="str">
        <f>IF(V$134=1,L138,IF(V$134="","",1-SUM($R138:U138)))</f>
        <v/>
      </c>
      <c r="W138" s="33" t="str">
        <f>IF(W$134=1,M138,IF(W$134="","",1-SUM($R138:V138)))</f>
        <v/>
      </c>
      <c r="X138" s="33" t="str">
        <f>IF(X$134=1,N138,IF(X$134="","",1-SUM($R138:W138)))</f>
        <v/>
      </c>
      <c r="Y138" s="33" t="str">
        <f>IF(Y$134=1,O138,IF(Y$134="","",1-SUM($R138:X138)))</f>
        <v/>
      </c>
      <c r="Z138" s="33" t="str">
        <f>IF(Z$134=1,P138,IF(Z$134="","",1-SUM($R138:Y138)))</f>
        <v/>
      </c>
      <c r="AA138" s="34" t="str">
        <f>IF(AA$134=1,Q138,IF(AA$134="","",1-SUM($R138:Z138)))</f>
        <v/>
      </c>
    </row>
    <row r="139" spans="1:29" s="344" customFormat="1" x14ac:dyDescent="0.25">
      <c r="A139" s="497" t="s">
        <v>108</v>
      </c>
      <c r="B139" s="499">
        <v>1.67</v>
      </c>
      <c r="C139" s="483">
        <v>204.84423461094022</v>
      </c>
      <c r="D139" s="498">
        <v>0.66999999999999993</v>
      </c>
      <c r="E139" s="484">
        <v>3.9E-2</v>
      </c>
      <c r="F139" s="483">
        <v>33.539400000000001</v>
      </c>
      <c r="G139" s="487"/>
      <c r="H139" s="484">
        <v>0.10761100000000001</v>
      </c>
      <c r="I139" s="484">
        <v>0.18339200000000003</v>
      </c>
      <c r="J139" s="484">
        <v>9.8811499999999997E-2</v>
      </c>
      <c r="K139" s="484">
        <v>0.11018549999999999</v>
      </c>
      <c r="L139" s="484">
        <v>0.10761100000000001</v>
      </c>
      <c r="M139" s="484">
        <v>0.18339200000000003</v>
      </c>
      <c r="N139" s="484">
        <v>9.8811499999999997E-2</v>
      </c>
      <c r="O139" s="476">
        <v>0.11018549999999999</v>
      </c>
      <c r="P139" s="472"/>
      <c r="Q139" s="473"/>
      <c r="R139" s="32">
        <f t="shared" si="14"/>
        <v>0.10761100000000001</v>
      </c>
      <c r="S139" s="33">
        <f t="shared" si="15"/>
        <v>0.18339200000000003</v>
      </c>
      <c r="T139" s="33">
        <f>IF(T$134=1,J139,IF(T$134="","",1-SUM($R139:S139)))</f>
        <v>9.8811499999999997E-2</v>
      </c>
      <c r="U139" s="33">
        <f>IF(U$134=1,K139,IF(U$134="","",1-SUM($R139:T139)))</f>
        <v>0.61018550000000005</v>
      </c>
      <c r="V139" s="33" t="str">
        <f>IF(V$134=1,L139,IF(V$134="","",1-SUM($R139:U139)))</f>
        <v/>
      </c>
      <c r="W139" s="33" t="str">
        <f>IF(W$134=1,M139,IF(W$134="","",1-SUM($R139:V139)))</f>
        <v/>
      </c>
      <c r="X139" s="33" t="str">
        <f>IF(X$134=1,N139,IF(X$134="","",1-SUM($R139:W139)))</f>
        <v/>
      </c>
      <c r="Y139" s="33" t="str">
        <f>IF(Y$134=1,O139,IF(Y$134="","",1-SUM($R139:X139)))</f>
        <v/>
      </c>
      <c r="Z139" s="33" t="str">
        <f>IF(Z$134=1,P139,IF(Z$134="","",1-SUM($R139:Y139)))</f>
        <v/>
      </c>
      <c r="AA139" s="34" t="str">
        <f>IF(AA$134=1,Q139,IF(AA$134="","",1-SUM($R139:Z139)))</f>
        <v/>
      </c>
    </row>
    <row r="140" spans="1:29" s="344" customFormat="1" x14ac:dyDescent="0.25">
      <c r="A140" s="497" t="s">
        <v>109</v>
      </c>
      <c r="B140" s="499">
        <v>1.98</v>
      </c>
      <c r="C140" s="483">
        <v>174.89185122952264</v>
      </c>
      <c r="D140" s="498">
        <v>0.98</v>
      </c>
      <c r="E140" s="484">
        <v>2.5000000000000001E-2</v>
      </c>
      <c r="F140" s="483">
        <v>43.674599999999998</v>
      </c>
      <c r="G140" s="487"/>
      <c r="H140" s="484">
        <v>0.127997</v>
      </c>
      <c r="I140" s="484">
        <v>0.17549499999999998</v>
      </c>
      <c r="J140" s="484">
        <v>9.9455500000000002E-2</v>
      </c>
      <c r="K140" s="484">
        <v>9.70525E-2</v>
      </c>
      <c r="L140" s="484">
        <v>0.127997</v>
      </c>
      <c r="M140" s="484">
        <v>0.17549499999999998</v>
      </c>
      <c r="N140" s="484">
        <v>9.9455500000000002E-2</v>
      </c>
      <c r="O140" s="476">
        <v>9.70525E-2</v>
      </c>
      <c r="P140" s="472"/>
      <c r="Q140" s="473"/>
      <c r="R140" s="32">
        <f t="shared" si="14"/>
        <v>0.127997</v>
      </c>
      <c r="S140" s="33">
        <f t="shared" si="15"/>
        <v>0.17549499999999998</v>
      </c>
      <c r="T140" s="33">
        <f>IF(T$134=1,J140,IF(T$134="","",1-SUM($R140:S140)))</f>
        <v>9.9455500000000002E-2</v>
      </c>
      <c r="U140" s="33">
        <f>IF(U$134=1,K140,IF(U$134="","",1-SUM($R140:T140)))</f>
        <v>0.59705249999999999</v>
      </c>
      <c r="V140" s="33" t="str">
        <f>IF(V$134=1,L140,IF(V$134="","",1-SUM($R140:U140)))</f>
        <v/>
      </c>
      <c r="W140" s="33" t="str">
        <f>IF(W$134=1,M140,IF(W$134="","",1-SUM($R140:V140)))</f>
        <v/>
      </c>
      <c r="X140" s="33" t="str">
        <f>IF(X$134=1,N140,IF(X$134="","",1-SUM($R140:W140)))</f>
        <v/>
      </c>
      <c r="Y140" s="33" t="str">
        <f>IF(Y$134=1,O140,IF(Y$134="","",1-SUM($R140:X140)))</f>
        <v/>
      </c>
      <c r="Z140" s="33" t="str">
        <f>IF(Z$134=1,P140,IF(Z$134="","",1-SUM($R140:Y140)))</f>
        <v/>
      </c>
      <c r="AA140" s="34" t="str">
        <f>IF(AA$134=1,Q140,IF(AA$134="","",1-SUM($R140:Z140)))</f>
        <v/>
      </c>
    </row>
    <row r="141" spans="1:29" s="344" customFormat="1" x14ac:dyDescent="0.25">
      <c r="A141" s="497" t="s">
        <v>110</v>
      </c>
      <c r="B141" s="499">
        <v>2.1800000000000002</v>
      </c>
      <c r="C141" s="483">
        <v>80.342980609274747</v>
      </c>
      <c r="D141" s="498">
        <v>1.1800000000000002</v>
      </c>
      <c r="E141" s="484">
        <v>1.4999999999999999E-2</v>
      </c>
      <c r="F141" s="483">
        <v>53.618000000000002</v>
      </c>
      <c r="G141" s="487"/>
      <c r="H141" s="484">
        <v>0.13020599999999999</v>
      </c>
      <c r="I141" s="484">
        <v>0.168596</v>
      </c>
      <c r="J141" s="484">
        <v>9.3060500000000004E-2</v>
      </c>
      <c r="K141" s="484">
        <v>0.10813750000000001</v>
      </c>
      <c r="L141" s="484">
        <v>0.13020599999999999</v>
      </c>
      <c r="M141" s="484">
        <v>0.168596</v>
      </c>
      <c r="N141" s="484">
        <v>9.3060500000000004E-2</v>
      </c>
      <c r="O141" s="476">
        <v>0.10813750000000001</v>
      </c>
      <c r="P141" s="472"/>
      <c r="Q141" s="473"/>
      <c r="R141" s="32">
        <f t="shared" si="14"/>
        <v>0.13020599999999999</v>
      </c>
      <c r="S141" s="33">
        <f t="shared" si="15"/>
        <v>0.168596</v>
      </c>
      <c r="T141" s="33">
        <f>IF(T$134=1,J141,IF(T$134="","",1-SUM($R141:S141)))</f>
        <v>9.3060500000000004E-2</v>
      </c>
      <c r="U141" s="33">
        <f>IF(U$134=1,K141,IF(U$134="","",1-SUM($R141:T141)))</f>
        <v>0.6081375</v>
      </c>
      <c r="V141" s="33" t="str">
        <f>IF(V$134=1,L141,IF(V$134="","",1-SUM($R141:U141)))</f>
        <v/>
      </c>
      <c r="W141" s="33" t="str">
        <f>IF(W$134=1,M141,IF(W$134="","",1-SUM($R141:V141)))</f>
        <v/>
      </c>
      <c r="X141" s="33" t="str">
        <f>IF(X$134=1,N141,IF(X$134="","",1-SUM($R141:W141)))</f>
        <v/>
      </c>
      <c r="Y141" s="33" t="str">
        <f>IF(Y$134=1,O141,IF(Y$134="","",1-SUM($R141:X141)))</f>
        <v/>
      </c>
      <c r="Z141" s="33" t="str">
        <f>IF(Z$134=1,P141,IF(Z$134="","",1-SUM($R141:Y141)))</f>
        <v/>
      </c>
      <c r="AA141" s="34" t="str">
        <f>IF(AA$134=1,Q141,IF(AA$134="","",1-SUM($R141:Z141)))</f>
        <v/>
      </c>
    </row>
    <row r="142" spans="1:29" s="344" customFormat="1" x14ac:dyDescent="0.25">
      <c r="A142" s="497" t="s">
        <v>111</v>
      </c>
      <c r="B142" s="499">
        <v>2.2599999999999998</v>
      </c>
      <c r="C142" s="483">
        <v>192.45506233444695</v>
      </c>
      <c r="D142" s="498">
        <v>1.2599999999999998</v>
      </c>
      <c r="E142" s="484">
        <v>2.9000000000000001E-2</v>
      </c>
      <c r="F142" s="483">
        <v>80.8767</v>
      </c>
      <c r="G142" s="487"/>
      <c r="H142" s="484">
        <v>0.13344349999999999</v>
      </c>
      <c r="I142" s="484">
        <v>0.16655200000000001</v>
      </c>
      <c r="J142" s="484">
        <v>0.102711</v>
      </c>
      <c r="K142" s="484">
        <v>9.7293500000000005E-2</v>
      </c>
      <c r="L142" s="484">
        <v>0.13344349999999999</v>
      </c>
      <c r="M142" s="484">
        <v>0.16655200000000001</v>
      </c>
      <c r="N142" s="484">
        <v>0.102711</v>
      </c>
      <c r="O142" s="476">
        <v>9.7293500000000005E-2</v>
      </c>
      <c r="P142" s="472"/>
      <c r="Q142" s="473"/>
      <c r="R142" s="32">
        <f t="shared" ref="R142:R144" si="16">H142</f>
        <v>0.13344349999999999</v>
      </c>
      <c r="S142" s="33">
        <f t="shared" si="15"/>
        <v>0.16655200000000001</v>
      </c>
      <c r="T142" s="33">
        <f>IF(T$134=1,J142,IF(T$134="","",1-SUM($R142:S142)))</f>
        <v>0.102711</v>
      </c>
      <c r="U142" s="33">
        <f>IF(U$134=1,K142,IF(U$134="","",1-SUM($R142:T142)))</f>
        <v>0.59729350000000003</v>
      </c>
      <c r="V142" s="33" t="str">
        <f>IF(V$134=1,L142,IF(V$134="","",1-SUM($R142:U142)))</f>
        <v/>
      </c>
      <c r="W142" s="33" t="str">
        <f>IF(W$134=1,M142,IF(W$134="","",1-SUM($R142:V142)))</f>
        <v/>
      </c>
      <c r="X142" s="33" t="str">
        <f>IF(X$134=1,N142,IF(X$134="","",1-SUM($R142:W142)))</f>
        <v/>
      </c>
      <c r="Y142" s="33" t="str">
        <f>IF(Y$134=1,O142,IF(Y$134="","",1-SUM($R142:X142)))</f>
        <v/>
      </c>
      <c r="Z142" s="33" t="str">
        <f>IF(Z$134=1,P142,IF(Z$134="","",1-SUM($R142:Y142)))</f>
        <v/>
      </c>
      <c r="AA142" s="34" t="str">
        <f>IF(AA$134=1,Q142,IF(AA$134="","",1-SUM($R142:Z142)))</f>
        <v/>
      </c>
    </row>
    <row r="143" spans="1:29" s="344" customFormat="1" x14ac:dyDescent="0.25">
      <c r="A143" s="487"/>
      <c r="B143" s="487"/>
      <c r="C143" s="487"/>
      <c r="D143" s="487"/>
      <c r="E143" s="487"/>
      <c r="F143" s="487"/>
      <c r="G143" s="487"/>
      <c r="H143" s="484">
        <v>0.13344349999999999</v>
      </c>
      <c r="I143" s="484">
        <v>0.16655200000000001</v>
      </c>
      <c r="J143" s="484">
        <v>0.102711</v>
      </c>
      <c r="K143" s="484">
        <v>9.7293500000000005E-2</v>
      </c>
      <c r="L143" s="484">
        <v>0.13344349999999999</v>
      </c>
      <c r="M143" s="484">
        <v>0.16655200000000001</v>
      </c>
      <c r="N143" s="484">
        <v>0.102711</v>
      </c>
      <c r="O143" s="476">
        <v>9.7293500000000005E-2</v>
      </c>
      <c r="P143" s="345"/>
      <c r="Q143" s="477"/>
      <c r="R143" s="32">
        <f t="shared" si="16"/>
        <v>0.13344349999999999</v>
      </c>
      <c r="S143" s="33">
        <f t="shared" si="15"/>
        <v>0.16655200000000001</v>
      </c>
      <c r="T143" s="33">
        <f>IF(T$134=1,J143,IF(T$134="","",1-SUM($R143:S143)))</f>
        <v>0.102711</v>
      </c>
      <c r="U143" s="33">
        <f>IF(U$134=1,K143,IF(U$134="","",1-SUM($R143:T143)))</f>
        <v>0.59729350000000003</v>
      </c>
      <c r="V143" s="33" t="str">
        <f>IF(V$134=1,L143,IF(V$134="","",1-SUM($R143:U143)))</f>
        <v/>
      </c>
      <c r="W143" s="33" t="str">
        <f>IF(W$134=1,M143,IF(W$134="","",1-SUM($R143:V143)))</f>
        <v/>
      </c>
      <c r="X143" s="33" t="str">
        <f>IF(X$134=1,N143,IF(X$134="","",1-SUM($R143:W143)))</f>
        <v/>
      </c>
      <c r="Y143" s="33" t="str">
        <f>IF(Y$134=1,O143,IF(Y$134="","",1-SUM($R143:X143)))</f>
        <v/>
      </c>
      <c r="Z143" s="33" t="str">
        <f>IF(Z$134=1,P143,IF(Z$134="","",1-SUM($R143:Y143)))</f>
        <v/>
      </c>
      <c r="AA143" s="34" t="str">
        <f>IF(AA$134=1,Q143,IF(AA$134="","",1-SUM($R143:Z143)))</f>
        <v/>
      </c>
    </row>
    <row r="144" spans="1:29" s="344" customFormat="1" x14ac:dyDescent="0.25">
      <c r="A144" s="487"/>
      <c r="B144" s="487"/>
      <c r="C144" s="487"/>
      <c r="D144" s="487"/>
      <c r="E144" s="487"/>
      <c r="F144" s="487"/>
      <c r="G144" s="487"/>
      <c r="H144" s="484">
        <v>0.13344349999999999</v>
      </c>
      <c r="I144" s="484">
        <v>0.16655200000000001</v>
      </c>
      <c r="J144" s="484">
        <v>0.102711</v>
      </c>
      <c r="K144" s="484">
        <v>9.7293500000000005E-2</v>
      </c>
      <c r="L144" s="484">
        <v>0.13344349999999999</v>
      </c>
      <c r="M144" s="484">
        <v>0.16655200000000001</v>
      </c>
      <c r="N144" s="484">
        <v>0.102711</v>
      </c>
      <c r="O144" s="476">
        <v>9.7293500000000005E-2</v>
      </c>
      <c r="P144" s="345"/>
      <c r="Q144" s="477"/>
      <c r="R144" s="32">
        <f t="shared" si="16"/>
        <v>0.13344349999999999</v>
      </c>
      <c r="S144" s="33">
        <f t="shared" si="15"/>
        <v>0.16655200000000001</v>
      </c>
      <c r="T144" s="33">
        <f>IF(T$134=1,J144,IF(T$134="","",1-SUM($R144:S144)))</f>
        <v>0.102711</v>
      </c>
      <c r="U144" s="33">
        <f>IF(U$134=1,K144,IF(U$134="","",1-SUM($R144:T144)))</f>
        <v>0.59729350000000003</v>
      </c>
      <c r="V144" s="33" t="str">
        <f>IF(V$134=1,L144,IF(V$134="","",1-SUM($R144:U144)))</f>
        <v/>
      </c>
      <c r="W144" s="33" t="str">
        <f>IF(W$134=1,M144,IF(W$134="","",1-SUM($R144:V144)))</f>
        <v/>
      </c>
      <c r="X144" s="33" t="str">
        <f>IF(X$134=1,N144,IF(X$134="","",1-SUM($R144:W144)))</f>
        <v/>
      </c>
      <c r="Y144" s="33" t="str">
        <f>IF(Y$134=1,O144,IF(Y$134="","",1-SUM($R144:X144)))</f>
        <v/>
      </c>
      <c r="Z144" s="33" t="str">
        <f>IF(Z$134=1,P144,IF(Z$134="","",1-SUM($R144:Y144)))</f>
        <v/>
      </c>
      <c r="AA144" s="34" t="str">
        <f>IF(AA$134=1,Q144,IF(AA$134="","",1-SUM($R144:Z144)))</f>
        <v/>
      </c>
    </row>
    <row r="145" spans="1:27" s="344" customFormat="1" x14ac:dyDescent="0.25">
      <c r="A145" s="487"/>
      <c r="B145" s="487"/>
      <c r="C145" s="487"/>
      <c r="D145" s="487"/>
      <c r="E145" s="487"/>
      <c r="F145" s="487"/>
      <c r="G145" s="487"/>
      <c r="H145" s="484">
        <v>0.13344349999999999</v>
      </c>
      <c r="I145" s="484">
        <v>0.16655200000000001</v>
      </c>
      <c r="J145" s="484">
        <v>0.102711</v>
      </c>
      <c r="K145" s="484">
        <v>9.7293500000000005E-2</v>
      </c>
      <c r="L145" s="484">
        <v>0.13344349999999999</v>
      </c>
      <c r="M145" s="484">
        <v>0.16655200000000001</v>
      </c>
      <c r="N145" s="484">
        <v>0.102711</v>
      </c>
      <c r="O145" s="476">
        <v>9.7293500000000005E-2</v>
      </c>
      <c r="P145" s="345"/>
      <c r="Q145" s="477"/>
      <c r="R145" s="35">
        <f>H145</f>
        <v>0.13344349999999999</v>
      </c>
      <c r="S145" s="36">
        <f t="shared" si="15"/>
        <v>0.16655200000000001</v>
      </c>
      <c r="T145" s="36">
        <f>IF(T$134=1,J145,IF(T$134="","",1-SUM($R145:S145)))</f>
        <v>0.102711</v>
      </c>
      <c r="U145" s="36">
        <f>IF(U$134=1,K145,IF(U$134="","",1-SUM($R145:T145)))</f>
        <v>0.59729350000000003</v>
      </c>
      <c r="V145" s="36" t="str">
        <f>IF(V$134=1,L145,IF(V$134="","",1-SUM($R145:U145)))</f>
        <v/>
      </c>
      <c r="W145" s="36" t="str">
        <f>IF(W$134=1,M145,IF(W$134="","",1-SUM($R145:V145)))</f>
        <v/>
      </c>
      <c r="X145" s="36" t="str">
        <f>IF(X$134=1,N145,IF(X$134="","",1-SUM($R145:W145)))</f>
        <v/>
      </c>
      <c r="Y145" s="36" t="str">
        <f>IF(Y$134=1,O145,IF(Y$134="","",1-SUM($R145:X145)))</f>
        <v/>
      </c>
      <c r="Z145" s="36" t="str">
        <f>IF(Z$134=1,P145,IF(Z$134="","",1-SUM($R145:Y145)))</f>
        <v/>
      </c>
      <c r="AA145" s="37" t="str">
        <f>IF(AA$134=1,Q145,IF(AA$134="","",1-SUM($R145:Z145)))</f>
        <v/>
      </c>
    </row>
    <row r="146" spans="1:27" x14ac:dyDescent="0.25">
      <c r="G146" s="487"/>
      <c r="H146" s="487"/>
      <c r="I146" s="491"/>
      <c r="J146" s="500"/>
      <c r="K146" s="499"/>
      <c r="L146" s="499"/>
      <c r="M146" s="499"/>
      <c r="N146" s="499"/>
    </row>
    <row r="147" spans="1:27" x14ac:dyDescent="0.25">
      <c r="G147" s="515" t="s">
        <v>81</v>
      </c>
      <c r="H147" s="498">
        <v>1</v>
      </c>
      <c r="I147" s="498">
        <v>0.84</v>
      </c>
      <c r="J147" s="499">
        <v>0.66</v>
      </c>
      <c r="K147" s="499">
        <v>0.5</v>
      </c>
      <c r="L147" s="499"/>
      <c r="M147" s="499"/>
      <c r="N147" s="499"/>
    </row>
    <row r="148" spans="1:27" x14ac:dyDescent="0.25">
      <c r="G148" s="515" t="s">
        <v>226</v>
      </c>
      <c r="H148" s="498">
        <v>0</v>
      </c>
      <c r="I148" s="498">
        <v>-0.16000000000000003</v>
      </c>
      <c r="J148" s="498">
        <v>-0.33999999999999997</v>
      </c>
      <c r="K148" s="498">
        <v>-0.5</v>
      </c>
      <c r="L148" s="498"/>
      <c r="M148" s="498"/>
      <c r="N148" s="498"/>
    </row>
    <row r="151" spans="1:27" x14ac:dyDescent="0.25">
      <c r="H151" s="496" t="s">
        <v>112</v>
      </c>
      <c r="I151" s="496" t="s">
        <v>113</v>
      </c>
      <c r="J151" s="496" t="s">
        <v>114</v>
      </c>
      <c r="K151" s="496" t="s">
        <v>115</v>
      </c>
      <c r="L151" s="7"/>
    </row>
    <row r="152" spans="1:27" x14ac:dyDescent="0.25">
      <c r="H152" s="484">
        <v>0.14313599999999999</v>
      </c>
      <c r="I152" s="484">
        <v>0.32052199999999997</v>
      </c>
      <c r="J152" s="484">
        <v>0.24514900000000001</v>
      </c>
      <c r="K152" s="484">
        <v>0.29119299999999998</v>
      </c>
      <c r="L152" s="25"/>
      <c r="M152" s="25"/>
      <c r="N152" s="25"/>
      <c r="O152" s="25"/>
    </row>
    <row r="153" spans="1:27" x14ac:dyDescent="0.25">
      <c r="H153" s="484">
        <v>0.16232500000000002</v>
      </c>
      <c r="I153" s="484">
        <v>0.31692500000000001</v>
      </c>
      <c r="J153" s="484">
        <v>0.23321500000000001</v>
      </c>
      <c r="K153" s="484">
        <v>0.28753499999999999</v>
      </c>
      <c r="L153" s="25"/>
      <c r="M153" s="25"/>
      <c r="N153" s="25"/>
      <c r="O153" s="25"/>
    </row>
    <row r="154" spans="1:27" x14ac:dyDescent="0.25">
      <c r="H154" s="484">
        <v>0.22681599999999999</v>
      </c>
      <c r="I154" s="484">
        <v>0.35488700000000001</v>
      </c>
      <c r="J154" s="484">
        <v>0.23813500000000001</v>
      </c>
      <c r="K154" s="484">
        <v>0.18016199999999999</v>
      </c>
      <c r="L154" s="25"/>
      <c r="M154" s="25"/>
      <c r="N154" s="25"/>
      <c r="O154" s="25"/>
    </row>
    <row r="155" spans="1:27" x14ac:dyDescent="0.25">
      <c r="H155" s="484">
        <v>0.21522200000000002</v>
      </c>
      <c r="I155" s="484">
        <v>0.36678400000000005</v>
      </c>
      <c r="J155" s="484">
        <v>0.19762299999999999</v>
      </c>
      <c r="K155" s="484">
        <v>0.22037099999999998</v>
      </c>
      <c r="L155" s="25"/>
      <c r="M155" s="25"/>
      <c r="N155" s="25"/>
      <c r="O155" s="25"/>
    </row>
    <row r="156" spans="1:27" x14ac:dyDescent="0.25">
      <c r="H156" s="484">
        <v>0.255994</v>
      </c>
      <c r="I156" s="484">
        <v>0.35098999999999997</v>
      </c>
      <c r="J156" s="484">
        <v>0.198911</v>
      </c>
      <c r="K156" s="484">
        <v>0.194105</v>
      </c>
      <c r="L156" s="25"/>
      <c r="M156" s="25"/>
      <c r="N156" s="25"/>
      <c r="O156" s="25"/>
    </row>
    <row r="157" spans="1:27" x14ac:dyDescent="0.25">
      <c r="H157" s="484">
        <v>0.26041199999999998</v>
      </c>
      <c r="I157" s="484">
        <v>0.33719199999999999</v>
      </c>
      <c r="J157" s="484">
        <v>0.18612100000000001</v>
      </c>
      <c r="K157" s="484">
        <v>0.21627500000000002</v>
      </c>
      <c r="L157" s="25"/>
      <c r="M157" s="25"/>
      <c r="N157" s="25"/>
      <c r="O157" s="25"/>
    </row>
    <row r="158" spans="1:27" x14ac:dyDescent="0.25">
      <c r="H158" s="484">
        <v>0.26688699999999999</v>
      </c>
      <c r="I158" s="484">
        <v>0.33310400000000001</v>
      </c>
      <c r="J158" s="484">
        <v>0.20542199999999999</v>
      </c>
      <c r="K158" s="484">
        <v>0.19458700000000001</v>
      </c>
      <c r="L158" s="25"/>
      <c r="M158" s="25"/>
      <c r="N158" s="25"/>
      <c r="O158" s="25"/>
    </row>
  </sheetData>
  <mergeCells count="4">
    <mergeCell ref="H112:K112"/>
    <mergeCell ref="H113:K113"/>
    <mergeCell ref="H133:K133"/>
    <mergeCell ref="H134:K1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10"/>
  <sheetViews>
    <sheetView showGridLines="0" workbookViewId="0">
      <selection activeCell="B5" sqref="B5"/>
    </sheetView>
  </sheetViews>
  <sheetFormatPr defaultRowHeight="15" x14ac:dyDescent="0.25"/>
  <cols>
    <col min="1" max="1" width="32.85546875" customWidth="1"/>
    <col min="2" max="2" width="17.140625" customWidth="1"/>
  </cols>
  <sheetData>
    <row r="1" spans="1:18" ht="18.75" x14ac:dyDescent="0.3">
      <c r="A1" s="1" t="s">
        <v>270</v>
      </c>
    </row>
    <row r="2" spans="1:18" ht="15" customHeight="1" x14ac:dyDescent="0.25">
      <c r="Q2" s="11"/>
      <c r="R2" s="11"/>
    </row>
    <row r="3" spans="1:18" s="236" customFormat="1" ht="15.75" x14ac:dyDescent="0.25">
      <c r="A3" s="830" t="s">
        <v>301</v>
      </c>
      <c r="B3" s="729">
        <v>9.9999999999999995E-7</v>
      </c>
      <c r="C3" s="714"/>
      <c r="D3" s="714"/>
      <c r="E3" s="714"/>
      <c r="F3" s="714"/>
      <c r="G3" s="714"/>
      <c r="H3" s="714"/>
      <c r="I3" s="714"/>
      <c r="J3" s="714"/>
      <c r="K3" s="714"/>
      <c r="L3" s="714"/>
      <c r="M3" s="714"/>
      <c r="N3" s="714"/>
      <c r="O3" s="714"/>
      <c r="P3" s="714"/>
      <c r="Q3" s="714"/>
      <c r="R3" s="714"/>
    </row>
    <row r="4" spans="1:18" x14ac:dyDescent="0.25">
      <c r="A4" s="517" t="s">
        <v>273</v>
      </c>
      <c r="B4" s="730">
        <v>8</v>
      </c>
      <c r="Q4" s="11"/>
      <c r="R4" s="11"/>
    </row>
    <row r="6" spans="1:18" x14ac:dyDescent="0.25">
      <c r="B6" s="751"/>
    </row>
    <row r="7" spans="1:18" x14ac:dyDescent="0.25">
      <c r="B7" s="7"/>
    </row>
    <row r="8" spans="1:18" x14ac:dyDescent="0.25">
      <c r="B8" s="7"/>
    </row>
    <row r="10" spans="1:18" x14ac:dyDescent="0.25">
      <c r="B10" s="7"/>
    </row>
  </sheetData>
  <sheetProtection algorithmName="SHA-512" hashValue="9M1YJiKOoCVnb0c39rBHrJtCIL5SZYnODQt/2vbqvJBswIs7pOtdmApDpwLql373guOWFDaShs5PLIN3TU33Eg==" saltValue="LRaWErT2rQHeF6cY/M8eA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MetaData</vt:lpstr>
      <vt:lpstr>Axelson_Gail</vt:lpstr>
      <vt:lpstr>IndrctAdj</vt:lpstr>
      <vt:lpstr>Solve_P(C|X)_BinC</vt:lpstr>
      <vt:lpstr>Corr</vt:lpstr>
      <vt:lpstr>Solve_RRC</vt:lpstr>
      <vt:lpstr>MultMdl</vt:lpstr>
      <vt:lpstr>AddMdl</vt:lpstr>
      <vt:lpstr>RegSm</vt:lpstr>
      <vt:lpstr>ExampleData</vt:lpstr>
      <vt:lpstr>TestData</vt:lpstr>
      <vt:lpstr>Tolerance</vt:lpstr>
      <vt:lpstr>Rnd_solve</vt:lpstr>
      <vt:lpstr>tol_Pr</vt:lpstr>
    </vt:vector>
  </TitlesOfParts>
  <Company>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lubinj</dc:creator>
  <cp:lastModifiedBy>jay</cp:lastModifiedBy>
  <dcterms:created xsi:type="dcterms:W3CDTF">2010-07-06T17:51:38Z</dcterms:created>
  <dcterms:modified xsi:type="dcterms:W3CDTF">2018-12-20T15:14:04Z</dcterms:modified>
</cp:coreProperties>
</file>